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D:\auditReport\project\"/>
    </mc:Choice>
  </mc:AlternateContent>
  <xr:revisionPtr revIDLastSave="0" documentId="13_ncr:1_{B088122A-99B9-4A52-9D45-BCA94BDCDDFE}" xr6:coauthVersionLast="47" xr6:coauthVersionMax="47" xr10:uidLastSave="{00000000-0000-0000-0000-000000000000}"/>
  <bookViews>
    <workbookView xWindow="-108" yWindow="-108" windowWidth="23256" windowHeight="12576" activeTab="4" xr2:uid="{00000000-000D-0000-FFFF-FFFF00000000}"/>
  </bookViews>
  <sheets>
    <sheet name="基础信息" sheetId="270" r:id="rId1"/>
    <sheet name="标准编码" sheetId="264" r:id="rId2"/>
    <sheet name="转换表" sheetId="512" r:id="rId3"/>
    <sheet name="科目余额表" sheetId="265" r:id="rId4"/>
    <sheet name="本期TB" sheetId="266" r:id="rId5"/>
    <sheet name="本期ETY" sheetId="267" r:id="rId6"/>
    <sheet name="新准则转换TB" sheetId="432" r:id="rId7"/>
    <sheet name="新准则转换ETY" sheetId="433" r:id="rId8"/>
    <sheet name="上期TB" sheetId="268" r:id="rId9"/>
    <sheet name="上期ETY" sheetId="269" r:id="rId10"/>
    <sheet name="审定报表分析性复核" sheetId="288" r:id="rId11"/>
    <sheet name="重要性水平" sheetId="289" r:id="rId12"/>
    <sheet name="资产表" sheetId="280" r:id="rId13"/>
    <sheet name="负债表" sheetId="281" r:id="rId14"/>
    <sheet name="利润表" sheetId="282" r:id="rId15"/>
    <sheet name="现金流量表" sheetId="283" r:id="rId16"/>
    <sheet name="本期所有者权益变动表" sheetId="286" r:id="rId17"/>
    <sheet name="上期所有者权益变动表" sheetId="287" r:id="rId18"/>
    <sheet name="现金流量表计算表" sheetId="502" r:id="rId19"/>
    <sheet name="国有资本保值增值计算表" sheetId="355" r:id="rId20"/>
    <sheet name="财务绩效评价指标" sheetId="356" r:id="rId21"/>
    <sheet name="校验" sheetId="273" r:id="rId22"/>
    <sheet name="利息资本化校验" sheetId="393" r:id="rId23"/>
    <sheet name="借款校验" sheetId="392" r:id="rId24"/>
    <sheet name="税费校验表" sheetId="390" r:id="rId25"/>
    <sheet name="薪酬校验表" sheetId="389" r:id="rId26"/>
    <sheet name="折旧及摊销校验表" sheetId="391" r:id="rId27"/>
    <sheet name="处置资产校验" sheetId="399" r:id="rId28"/>
    <sheet name="政府补助校验" sheetId="400" r:id="rId29"/>
    <sheet name="递延所得税费用校验" sheetId="401" r:id="rId30"/>
    <sheet name="投资收益核对" sheetId="402" r:id="rId31"/>
    <sheet name="资产减值损失核对" sheetId="404" r:id="rId32"/>
    <sheet name="子公司与少数股东现金流校验" sheetId="405" r:id="rId33"/>
    <sheet name="首次执行日前后金融资产分类和计量对比表" sheetId="7" r:id="rId34"/>
    <sheet name="新旧金融工具调节表" sheetId="2" r:id="rId35"/>
    <sheet name="金融资产减值准备调节表" sheetId="3" r:id="rId36"/>
    <sheet name="新金融工具准则对期初留存收益和其他综合收益的影响" sheetId="4" r:id="rId37"/>
    <sheet name="新收入准则对期初财务报表的影响" sheetId="5" r:id="rId38"/>
    <sheet name="新收入准则对期末资产负债表的影响" sheetId="11" r:id="rId39"/>
    <sheet name="新收入准则对利润表的影响" sheetId="14" r:id="rId40"/>
    <sheet name="新租赁准则对期初报表的影响" sheetId="15" r:id="rId41"/>
    <sheet name="最低经营租赁付款额与租赁负债调节表" sheetId="17" r:id="rId42"/>
    <sheet name="主要税种及税率" sheetId="19" r:id="rId43"/>
    <sheet name="子企业情况-国有企业" sheetId="20" r:id="rId44"/>
    <sheet name="表决权不足半数但能形成控制-国有企业" sheetId="21" r:id="rId45"/>
    <sheet name="半数以上表决权但未控制-国有企业" sheetId="22" r:id="rId46"/>
    <sheet name="本年不再纳入合并范围原子公司的情况-国有企业" sheetId="28" r:id="rId47"/>
    <sheet name="原子公司在处置日和上一会计期间资产负债表日的财务状况-国有企业" sheetId="29" r:id="rId48"/>
    <sheet name="原子公司本年年初至处置日的经营成果-国有企业" sheetId="30" r:id="rId49"/>
    <sheet name="本年新纳入合并范围的主体-国有企业" sheetId="31" r:id="rId50"/>
    <sheet name="本年发生的同一控制下企业合并情况-国有企业" sheetId="32" r:id="rId51"/>
    <sheet name="本年发生的非同一控制下企业合并情况-国有企业" sheetId="33" r:id="rId52"/>
    <sheet name="本年发生的反向购买-国有企业" sheetId="34" r:id="rId53"/>
    <sheet name="本年发生的吸收合并-国有企业" sheetId="35" r:id="rId54"/>
    <sheet name="货币资金" sheetId="37" r:id="rId55"/>
    <sheet name="受限制的货币资金" sheetId="38" r:id="rId56"/>
    <sheet name="受限货币资金情况" sheetId="354" r:id="rId57"/>
    <sheet name="货币资金明细表" sheetId="357" r:id="rId58"/>
    <sheet name="受限货币资金明细表" sheetId="362" r:id="rId59"/>
    <sheet name="交易性金融资产" sheetId="39" r:id="rId60"/>
    <sheet name="交易性金融资产明细表" sheetId="363" r:id="rId61"/>
    <sheet name="以公允价值计量且其变动计入当期损益的金融资产" sheetId="40" r:id="rId62"/>
    <sheet name="以公允价值计量且其变动计入当期损益的金融资产明细表" sheetId="364" r:id="rId63"/>
    <sheet name="衍生金融资产" sheetId="41" r:id="rId64"/>
    <sheet name="衍生金融资产明细表" sheetId="366" r:id="rId65"/>
    <sheet name="应收票据分类新金融工具准则" sheetId="46" r:id="rId66"/>
    <sheet name="已质押应收票据" sheetId="43" r:id="rId67"/>
    <sheet name="已质押票据明细表" sheetId="367" r:id="rId68"/>
    <sheet name="已背书或贴现且在资产负债表日尚未到期的应收票据" sheetId="44" r:id="rId69"/>
    <sheet name="已背书或贴现且在资产负债表日尚未到期的应收票据明细表" sheetId="368" r:id="rId70"/>
    <sheet name="因出票人未履约而转为应收账款的票据" sheetId="45" r:id="rId71"/>
    <sheet name="因出票人未履约而转为应收账款的票据明细表" sheetId="369" r:id="rId72"/>
    <sheet name="期末单项计提坏账准备的应收票据新金融工具准则" sheetId="47" r:id="rId73"/>
    <sheet name="采用组合计提坏账准备的应收票据新金融工具准则" sheetId="48" r:id="rId74"/>
    <sheet name="应收票据坏账准备变动明细情况新金融工具准则" sheetId="49" r:id="rId75"/>
    <sheet name="本期重要的应收票据坏账准备收回或转回情况新金融工具准则" sheetId="50" r:id="rId76"/>
    <sheet name="本期实际核销的应收票据情况新金融工具准则" sheetId="51" r:id="rId77"/>
    <sheet name="应收票据明细表" sheetId="365" r:id="rId78"/>
    <sheet name="应收账款期末数" sheetId="54" r:id="rId79"/>
    <sheet name="应收账款期初数" sheetId="55" r:id="rId80"/>
    <sheet name="期末单项计提坏账准备的应收账款" sheetId="58" r:id="rId81"/>
    <sheet name="采用组合计提坏账准备的应收账款" sheetId="67" r:id="rId82"/>
    <sheet name="应收账款账龄情况" sheetId="509" r:id="rId83"/>
    <sheet name="应收账款坏账准备变动明细情况" sheetId="74" r:id="rId84"/>
    <sheet name="收回或转回的坏账准备情况" sheetId="62" r:id="rId85"/>
    <sheet name="本年实际核销的应收账款情况" sheetId="63" r:id="rId86"/>
    <sheet name="按欠款方归集的年末余额前五名的应收账款情况" sheetId="64" r:id="rId87"/>
    <sheet name="由金融资产转移而终止确认的应收账款" sheetId="65" r:id="rId88"/>
    <sheet name="转移应收账款且继续涉入形成的资产负债" sheetId="66" r:id="rId89"/>
    <sheet name="应收账款明细表" sheetId="359" r:id="rId90"/>
    <sheet name="应收款项融资" sheetId="75" r:id="rId91"/>
    <sheet name="应收款项融资明细表" sheetId="434" r:id="rId92"/>
    <sheet name="应收款项融资已转让已背书或已贴现未到期" sheetId="76" r:id="rId93"/>
    <sheet name="应收款项融资已转让已背书或已贴现未到期明细表" sheetId="435" r:id="rId94"/>
    <sheet name="预付账款账龄明细" sheetId="77" r:id="rId95"/>
    <sheet name="账龄超过1年的大额预付款项情况" sheetId="78" r:id="rId96"/>
    <sheet name="按欠款方归集的年末余额前五名的预付账款情况" sheetId="79" r:id="rId97"/>
    <sheet name="预付账款明细表" sheetId="360" r:id="rId98"/>
    <sheet name="其他应收款" sheetId="80" r:id="rId99"/>
    <sheet name="应收利息分类" sheetId="82" r:id="rId100"/>
    <sheet name="重要逾期利息" sheetId="83" r:id="rId101"/>
    <sheet name="应收利息明细表" sheetId="436" r:id="rId102"/>
    <sheet name="应收股利明细" sheetId="84" r:id="rId103"/>
    <sheet name="账龄一年以上重要的应收股利" sheetId="507" r:id="rId104"/>
    <sheet name="应收股利明细表" sheetId="437" r:id="rId105"/>
    <sheet name="其他应收款按性质分类情况" sheetId="102" r:id="rId106"/>
    <sheet name="其他应收款账龄情况" sheetId="100" r:id="rId107"/>
    <sheet name="其他应收款坏账准备变动情况" sheetId="454" r:id="rId108"/>
    <sheet name="其他应收款减值准备明细表" sheetId="455" r:id="rId109"/>
    <sheet name="坏账准备的情况" sheetId="508" r:id="rId110"/>
    <sheet name="其他应收款收回或转回的坏账准备情况" sheetId="91" r:id="rId111"/>
    <sheet name="本年实际核销的其他应收款情况" sheetId="92" r:id="rId112"/>
    <sheet name="按欠款方归集的年末金额前五名的其他应收款项情况" sheetId="93" r:id="rId113"/>
    <sheet name="按应收金额确认的政府补助" sheetId="103" r:id="rId114"/>
    <sheet name="由金融资产转移而终止确认的其他应收款项" sheetId="94" r:id="rId115"/>
    <sheet name="转移其他应收款且继续涉入形成的资产负债" sheetId="95" r:id="rId116"/>
    <sheet name="其他应收款明细表" sheetId="361" r:id="rId117"/>
    <sheet name="存货明细情况" sheetId="96" r:id="rId118"/>
    <sheet name="房地产开发成本" sheetId="107" r:id="rId119"/>
    <sheet name="房地产开发产品" sheetId="108" r:id="rId120"/>
    <sheet name="合同履约成本" sheetId="122" r:id="rId121"/>
    <sheet name="合同履约明细表" sheetId="438" r:id="rId122"/>
    <sheet name="存货跌价准备明细情况" sheetId="106" r:id="rId123"/>
    <sheet name="确定可变现净值的具体依据" sheetId="109" r:id="rId124"/>
    <sheet name="存货期末余额中借款费用资本化情况" sheetId="110" r:id="rId125"/>
    <sheet name="存货明细表" sheetId="370" r:id="rId126"/>
    <sheet name="存货成本倒闸表" sheetId="396" r:id="rId127"/>
    <sheet name="合同资产情况" sheetId="111" r:id="rId128"/>
    <sheet name="合同资产本期的重大变动" sheetId="114" r:id="rId129"/>
    <sheet name="期末单项计提坏账准备的合同资产" sheetId="112" r:id="rId130"/>
    <sheet name="采用组合计提坏账准备的合同资产" sheetId="113" r:id="rId131"/>
    <sheet name="合同资产明细表" sheetId="439" r:id="rId132"/>
    <sheet name="持有待售资产的基本情况" sheetId="115" r:id="rId133"/>
    <sheet name="持有待售资产减值准备情况" sheetId="116" r:id="rId134"/>
    <sheet name="持有待售资产明细表" sheetId="440" r:id="rId135"/>
    <sheet name="一年内到期的非流动资产" sheetId="119" r:id="rId136"/>
    <sheet name="一年内到期的非流动资产明细表" sheetId="441" r:id="rId137"/>
    <sheet name="其他流动资产" sheetId="120" r:id="rId138"/>
    <sheet name="其他流动资产明细表" sheetId="442" r:id="rId139"/>
    <sheet name="合同取得成本" sheetId="121" r:id="rId140"/>
    <sheet name="合同取得成本明细表" sheetId="443" r:id="rId141"/>
    <sheet name="债权投资" sheetId="445" r:id="rId142"/>
    <sheet name="债权投资明细表" sheetId="444" r:id="rId143"/>
    <sheet name="债权投资减值准备" sheetId="125" r:id="rId144"/>
    <sheet name="债权投资减值准备明细表" sheetId="446" r:id="rId145"/>
    <sheet name="期末重要的债权投资" sheetId="126" r:id="rId146"/>
    <sheet name="可供出售金融资产情况" sheetId="127" r:id="rId147"/>
    <sheet name="期末按公允价值计量的可供出售金融资产" sheetId="128" r:id="rId148"/>
    <sheet name="可供出售权益工具严重下跌但未计提减值" sheetId="129" r:id="rId149"/>
    <sheet name="可供出售债务工具明细表" sheetId="373" r:id="rId150"/>
    <sheet name="可供出售权益工具明细表" sheetId="374" r:id="rId151"/>
    <sheet name="其他债权投资期末数" sheetId="130" r:id="rId152"/>
    <sheet name="其他债权投资期初数" sheetId="131" r:id="rId153"/>
    <sheet name="其他债权投资明细表" sheetId="447" r:id="rId154"/>
    <sheet name="其他债权投资减值准备" sheetId="450" r:id="rId155"/>
    <sheet name="其他债权投资减值准备明细表" sheetId="451" r:id="rId156"/>
    <sheet name="期末重要的其他债权投资" sheetId="133" r:id="rId157"/>
    <sheet name="持有至到期投资明细情况" sheetId="134" r:id="rId158"/>
    <sheet name="期末重要的持有至到期投资" sheetId="135" r:id="rId159"/>
    <sheet name="长期应收款明细情况" sheetId="138" r:id="rId160"/>
    <sheet name="长期应收款明细表" sheetId="452" r:id="rId161"/>
    <sheet name="长期应收款坏账准备变动情况新金融工具准则" sheetId="489" r:id="rId162"/>
    <sheet name="长期应收款减值准备明细表新金融工具" sheetId="490" r:id="rId163"/>
    <sheet name="因金融资产转移而终止确认的长期应收款" sheetId="140" r:id="rId164"/>
    <sheet name="因金融资产转移而终止确认的长期应收款明细表" sheetId="456" r:id="rId165"/>
    <sheet name="转移长期应收款且继续涉入形成的资产负债金额" sheetId="141" r:id="rId166"/>
    <sheet name="长期股权投资分类情况" sheetId="142" r:id="rId167"/>
    <sheet name="长期股权投资子公司明细情况" sheetId="431" r:id="rId168"/>
    <sheet name="长期股权投资合营企业明细情况" sheetId="143" r:id="rId169"/>
    <sheet name="长期股权投资联营企业明细情况" sheetId="430" r:id="rId170"/>
    <sheet name="对合营企业投资和联营企业投资国有企业" sheetId="426" r:id="rId171"/>
    <sheet name="向投资企业转移资金的能力受到限制的有关情况国有企业" sheetId="427" r:id="rId172"/>
    <sheet name="长期股权投资明细表" sheetId="375" r:id="rId173"/>
    <sheet name="合营企业和联营企业主要财务信息明细表" sheetId="376" r:id="rId174"/>
    <sheet name="其他权益工具投资明细" sheetId="150" r:id="rId175"/>
    <sheet name="期末重要的其他权益工具投资国有企业" sheetId="428" r:id="rId176"/>
    <sheet name="非交易性权益工具投资情况上市公司" sheetId="151" r:id="rId177"/>
    <sheet name="其他权益工具投资明细表" sheetId="457" r:id="rId178"/>
    <sheet name="其他非流动金融资产" sheetId="152" r:id="rId179"/>
    <sheet name="其他非流动金融资产明细表" sheetId="458" r:id="rId180"/>
    <sheet name="采用成本计量模式的投资性房地产上市公司" sheetId="153" r:id="rId181"/>
    <sheet name="成本法核算投资性房地产明细表" sheetId="377" r:id="rId182"/>
    <sheet name="采用公允价值计量模式的投资性房地产" sheetId="154" r:id="rId183"/>
    <sheet name="采用公允价值计量模式的投资性房地产明细表" sheetId="459" r:id="rId184"/>
    <sheet name="未办妥产权证书的投资性房地产金额及原因" sheetId="155" r:id="rId185"/>
    <sheet name="未办妥权证的投资性房地产明细表" sheetId="460" r:id="rId186"/>
    <sheet name="固定资产汇总" sheetId="156" r:id="rId187"/>
    <sheet name="固定资产情况" sheetId="410" r:id="rId188"/>
    <sheet name="固定资产明细表" sheetId="411" r:id="rId189"/>
    <sheet name="暂时闲置的固定资产情况" sheetId="158" r:id="rId190"/>
    <sheet name="暂时闲置的固定资产明细表" sheetId="461" r:id="rId191"/>
    <sheet name="通过经营租赁租出的固定资产" sheetId="160" r:id="rId192"/>
    <sheet name="经营租赁租出固定资产明细表" sheetId="462" r:id="rId193"/>
    <sheet name="未办妥产权证书的固定资产情况" sheetId="159" r:id="rId194"/>
    <sheet name="未办妥权证的固定资产明细表" sheetId="463" r:id="rId195"/>
    <sheet name="固定资产清理" sheetId="161" r:id="rId196"/>
    <sheet name="固定资产清理明细表" sheetId="464" r:id="rId197"/>
    <sheet name="在建工程汇总" sheetId="162" r:id="rId198"/>
    <sheet name="在建工程情况" sheetId="163" r:id="rId199"/>
    <sheet name="重要在建工程项目本期变动情况" sheetId="164" r:id="rId200"/>
    <sheet name="本期计提在建工程减值准备情况" sheetId="165" r:id="rId201"/>
    <sheet name="在建工程明细表" sheetId="465" r:id="rId202"/>
    <sheet name="工程物资" sheetId="166" r:id="rId203"/>
    <sheet name="工程物资明细表" sheetId="466" r:id="rId204"/>
    <sheet name="生产性生物资产" sheetId="167" r:id="rId205"/>
    <sheet name="生产性生物资产明细表" sheetId="413" r:id="rId206"/>
    <sheet name="油气资产" sheetId="168" r:id="rId207"/>
    <sheet name="油气资产国有企业" sheetId="416" r:id="rId208"/>
    <sheet name="油气资产明细表" sheetId="417" r:id="rId209"/>
    <sheet name="使用权资产" sheetId="169" r:id="rId210"/>
    <sheet name="使用权资产明细表" sheetId="420" r:id="rId211"/>
    <sheet name="无形资产" sheetId="170" r:id="rId212"/>
    <sheet name="无形资产明细表" sheetId="424" r:id="rId213"/>
    <sheet name="未办妥产权证书的土地使用权情况" sheetId="171" r:id="rId214"/>
    <sheet name="未办妥产权证书的无形资产明细表" sheetId="467" r:id="rId215"/>
    <sheet name="开发支出" sheetId="172" r:id="rId216"/>
    <sheet name="开发支出明细表" sheetId="468" r:id="rId217"/>
    <sheet name="商誉账面价值" sheetId="173" r:id="rId218"/>
    <sheet name="商誉减值准备" sheetId="174" r:id="rId219"/>
    <sheet name="商誉明细表" sheetId="469" r:id="rId220"/>
    <sheet name="长期待摊费用" sheetId="175" r:id="rId221"/>
    <sheet name="长期待摊费用明细表" sheetId="470" r:id="rId222"/>
    <sheet name="未经抵销的递延所得税资产" sheetId="176" r:id="rId223"/>
    <sheet name="未经抵销的递延所得税负债" sheetId="177" r:id="rId224"/>
    <sheet name="未确认递延所得税资产明细" sheetId="178" r:id="rId225"/>
    <sheet name="未确认递延所得税资产的可抵扣亏损将于以下年度到期" sheetId="179" r:id="rId226"/>
    <sheet name="其他非流动资产" sheetId="180" r:id="rId227"/>
    <sheet name="其他非流动资产明细表" sheetId="471" r:id="rId228"/>
    <sheet name="短期借款明细情况" sheetId="181" r:id="rId229"/>
    <sheet name="已逾期未偿还的短期借款情况" sheetId="182" r:id="rId230"/>
    <sheet name="短期借款明细表" sheetId="472" r:id="rId231"/>
    <sheet name="交易性金融负债" sheetId="183" r:id="rId232"/>
    <sheet name="以公允价值计量且其变动计入当期损益的金融负债" sheetId="184" r:id="rId233"/>
    <sheet name="衍生金融负债" sheetId="185" r:id="rId234"/>
    <sheet name="应付票据" sheetId="186" r:id="rId235"/>
    <sheet name="应付账款" sheetId="187" r:id="rId236"/>
    <sheet name="账龄超过一年的重要应付账款" sheetId="188" r:id="rId237"/>
    <sheet name="应付账款明细表" sheetId="385" r:id="rId238"/>
    <sheet name="预收款项" sheetId="189" r:id="rId239"/>
    <sheet name="预收款项账龄表" sheetId="388" r:id="rId240"/>
    <sheet name="账龄一年以上重要的预收款项" sheetId="190" r:id="rId241"/>
    <sheet name="预收账款明细表" sheetId="386" r:id="rId242"/>
    <sheet name="合同负债" sheetId="191" r:id="rId243"/>
    <sheet name="应付职工薪酬明细情况" sheetId="192" r:id="rId244"/>
    <sheet name="短期薪酬列示" sheetId="193" r:id="rId245"/>
    <sheet name="设定提存计划列示" sheetId="194" r:id="rId246"/>
    <sheet name="应付职工薪酬明细表" sheetId="474" r:id="rId247"/>
    <sheet name="应交税费" sheetId="195" r:id="rId248"/>
    <sheet name="应交税费明细表" sheetId="477" r:id="rId249"/>
    <sheet name="应交增值税计提" sheetId="476" r:id="rId250"/>
    <sheet name="其他应付款汇总" sheetId="196" r:id="rId251"/>
    <sheet name="应付利息" sheetId="197" r:id="rId252"/>
    <sheet name="重要的已逾期未支付的利息情况" sheetId="198" r:id="rId253"/>
    <sheet name="应付利息明细表" sheetId="478" r:id="rId254"/>
    <sheet name="应付股利" sheetId="199" r:id="rId255"/>
    <sheet name="账龄一年以上重要的应付股利" sheetId="200" r:id="rId256"/>
    <sheet name="应付股利明细表" sheetId="479" r:id="rId257"/>
    <sheet name="其他应付款项" sheetId="201" r:id="rId258"/>
    <sheet name="账龄超过一年的重要其他应付款项" sheetId="202" r:id="rId259"/>
    <sheet name="其他应付款明细表" sheetId="387" r:id="rId260"/>
    <sheet name="持有待售负债" sheetId="203" r:id="rId261"/>
    <sheet name="一年内到期的非流动负债" sheetId="204" r:id="rId262"/>
    <sheet name="其他流动负债" sheetId="205" r:id="rId263"/>
    <sheet name="短期应付债券" sheetId="206" r:id="rId264"/>
    <sheet name="长期借款" sheetId="207" r:id="rId265"/>
    <sheet name="长期借款明细表" sheetId="480" r:id="rId266"/>
    <sheet name="应付债券" sheetId="209" r:id="rId267"/>
    <sheet name="应付债券的增减变动" sheetId="208" r:id="rId268"/>
    <sheet name="应付债券明细表" sheetId="499" r:id="rId269"/>
    <sheet name="期末发行在外的优先股永续债等金融工具情况" sheetId="210" r:id="rId270"/>
    <sheet name="发行在外的优先股永续债等金融工具变动情况" sheetId="211" r:id="rId271"/>
    <sheet name="归属于权益工具持有者的信息" sheetId="212" r:id="rId272"/>
    <sheet name="租赁负债" sheetId="216" r:id="rId273"/>
    <sheet name="租赁负债明细表" sheetId="491" r:id="rId274"/>
    <sheet name="长期应付款汇总" sheetId="213" r:id="rId275"/>
    <sheet name="长期应付款" sheetId="214" r:id="rId276"/>
    <sheet name="长期应付款明细表" sheetId="492" r:id="rId277"/>
    <sheet name="专项应付款" sheetId="215" r:id="rId278"/>
    <sheet name="专项应付款明细表" sheetId="493" r:id="rId279"/>
    <sheet name="长期应付职工薪酬明细情况" sheetId="217" r:id="rId280"/>
    <sheet name="设定受益计划义务现值" sheetId="218" r:id="rId281"/>
    <sheet name="计划资产" sheetId="219" r:id="rId282"/>
    <sheet name="设定受益计划净负债" sheetId="220" r:id="rId283"/>
    <sheet name="预计负债" sheetId="221" r:id="rId284"/>
    <sheet name="预计负债明细表" sheetId="496" r:id="rId285"/>
    <sheet name="递延收益" sheetId="222" r:id="rId286"/>
    <sheet name="递延收益中政府补助项目" sheetId="223" r:id="rId287"/>
    <sheet name="递延收益明细表" sheetId="497" r:id="rId288"/>
    <sheet name="未实现售后回租损益明细表" sheetId="498" r:id="rId289"/>
    <sheet name="其他非流动负债" sheetId="224" r:id="rId290"/>
    <sheet name="实收资本" sheetId="225" r:id="rId291"/>
    <sheet name="股本" sheetId="226" r:id="rId292"/>
    <sheet name="其他权益工具" sheetId="227" r:id="rId293"/>
    <sheet name="资本公积" sheetId="228" r:id="rId294"/>
    <sheet name="其他综合收益" sheetId="229" r:id="rId295"/>
    <sheet name="专项储备" sheetId="230" r:id="rId296"/>
    <sheet name="盈余公积" sheetId="231" r:id="rId297"/>
    <sheet name="未分配利润" sheetId="232" r:id="rId298"/>
    <sheet name="营业收入与营业成本" sheetId="233" r:id="rId299"/>
    <sheet name="主营业务收入与主营业务成本" sheetId="234" r:id="rId300"/>
    <sheet name="主营业务明细表" sheetId="481" r:id="rId301"/>
    <sheet name="其他业务收入与其他业务成本" sheetId="235" r:id="rId302"/>
    <sheet name="其他业务明细表" sheetId="482" r:id="rId303"/>
    <sheet name="按收入确认时点分解" sheetId="510" r:id="rId304"/>
    <sheet name="税金及附加" sheetId="236" r:id="rId305"/>
    <sheet name="销售费用" sheetId="237" r:id="rId306"/>
    <sheet name="管理费用" sheetId="238" r:id="rId307"/>
    <sheet name="研发费用" sheetId="240" r:id="rId308"/>
    <sheet name="财务费用" sheetId="239" r:id="rId309"/>
    <sheet name="财务费用分类表" sheetId="395" r:id="rId310"/>
    <sheet name="其他收益" sheetId="241" r:id="rId311"/>
    <sheet name="投资收益" sheetId="242" r:id="rId312"/>
    <sheet name="净敞口套期收益" sheetId="243" r:id="rId313"/>
    <sheet name="公允价值变动损益" sheetId="244" r:id="rId314"/>
    <sheet name="信用减值损失" sheetId="245" r:id="rId315"/>
    <sheet name="资产减值损失" sheetId="246" r:id="rId316"/>
    <sheet name="资产处置收益" sheetId="247" r:id="rId317"/>
    <sheet name="营业外收入" sheetId="248" r:id="rId318"/>
    <sheet name="计入当期损益的政府补助明细" sheetId="511" r:id="rId319"/>
    <sheet name="营业外支出" sheetId="249" r:id="rId320"/>
    <sheet name="所得税费用" sheetId="250" r:id="rId321"/>
    <sheet name="会计利润与所得税费用调整过程" sheetId="251" r:id="rId322"/>
    <sheet name="可抵扣暂时性差异明细表" sheetId="501" r:id="rId323"/>
    <sheet name="应纳税暂时性差异明细表" sheetId="500" r:id="rId324"/>
    <sheet name="可抵扣亏损" sheetId="407" r:id="rId325"/>
    <sheet name="当期所得税费用计算表" sheetId="403" r:id="rId326"/>
    <sheet name="所得税项目计算" sheetId="406" r:id="rId327"/>
    <sheet name="收到其他与经营活动有关的现金" sheetId="252" r:id="rId328"/>
    <sheet name="支付其他与经营活动有关的现金" sheetId="253" r:id="rId329"/>
    <sheet name="收到其他与投资活动有关的现金" sheetId="254" r:id="rId330"/>
    <sheet name="支付其他与投资活动有关的现金" sheetId="255" r:id="rId331"/>
    <sheet name="收到其他与筹资活动有关的现金" sheetId="256" r:id="rId332"/>
    <sheet name="支付其他与筹资活动有关的现金" sheetId="257" r:id="rId333"/>
    <sheet name="将净利润调节为经营活动现金流量" sheetId="258" r:id="rId334"/>
    <sheet name="不涉及现金收支的重大投资和筹资活动" sheetId="503" r:id="rId335"/>
    <sheet name="现金及现金等价物净变动情况" sheetId="504" r:id="rId336"/>
    <sheet name="现金流补充资料计算" sheetId="394" r:id="rId337"/>
    <sheet name="本期支付的取得子公司的现金净额" sheetId="259" r:id="rId338"/>
    <sheet name="本期收到的处置子公司的现金净额" sheetId="260" r:id="rId339"/>
    <sheet name="现金及现金等价物的构成" sheetId="261" r:id="rId340"/>
    <sheet name="所有权或使用权受到限制的资产" sheetId="262" r:id="rId341"/>
    <sheet name="外币货币性项目" sheetId="263" r:id="rId342"/>
    <sheet name="股份支付总体情况" sheetId="291" r:id="rId343"/>
    <sheet name="以权益结算的股份支付情况" sheetId="292" r:id="rId344"/>
    <sheet name="以现金结算的股份支付情况" sheetId="293" r:id="rId345"/>
    <sheet name="对外担保明细表" sheetId="494" r:id="rId346"/>
    <sheet name="其他或有事项明细表" sheetId="495" r:id="rId347"/>
    <sheet name="母公司基本情况" sheetId="294" r:id="rId348"/>
    <sheet name="其他关联方情况" sheetId="295" r:id="rId349"/>
    <sheet name="采购商品接收劳务" sheetId="296" r:id="rId350"/>
    <sheet name="出售商品提供劳务" sheetId="297" r:id="rId351"/>
    <sheet name="本公司作为出租方" sheetId="299" r:id="rId352"/>
    <sheet name="本公司作为承租方" sheetId="298" r:id="rId353"/>
    <sheet name="本公司作为承租方当期承担的租赁负债利息支出" sheetId="300" r:id="rId354"/>
    <sheet name="本公司作为担保方" sheetId="301" r:id="rId355"/>
    <sheet name="本公司作为被担保方" sheetId="302" r:id="rId356"/>
    <sheet name="关联方资金拆借" sheetId="304" r:id="rId357"/>
    <sheet name="关键管理人员薪酬" sheetId="303" r:id="rId358"/>
    <sheet name="其他关联交易" sheetId="506" r:id="rId359"/>
    <sheet name="应收关联方款项" sheetId="305" r:id="rId360"/>
    <sheet name="应付关联方款项" sheetId="306" r:id="rId361"/>
    <sheet name="关联方承诺上市公司" sheetId="344" r:id="rId362"/>
    <sheet name="非同一控制下企业合并上市公司" sheetId="307" r:id="rId363"/>
    <sheet name="合并成本及商誉上市公司" sheetId="308" r:id="rId364"/>
    <sheet name="被购买方于购买日可辨认资产负债上市公司" sheetId="309" r:id="rId365"/>
    <sheet name="同一控制下企业合并上市公司" sheetId="310" r:id="rId366"/>
    <sheet name="合并成本上市公司" sheetId="311" r:id="rId367"/>
    <sheet name="合并日被合并方资产负债的账面价值上市公司" sheetId="312" r:id="rId368"/>
    <sheet name="单次处置对子公司投资即丧失控制权上市公司" sheetId="313" r:id="rId369"/>
    <sheet name="多次处置构成一揽子交易上市公司" sheetId="314" r:id="rId370"/>
    <sheet name="多次处置不构成一揽子交易上市公司" sheetId="315" r:id="rId371"/>
    <sheet name="其他合并范围增加上市公司" sheetId="316" r:id="rId372"/>
    <sheet name=" 其他合并范围减少上市公司" sheetId="317" r:id="rId373"/>
    <sheet name="企业集团的构成上市公司" sheetId="318" r:id="rId374"/>
    <sheet name="重要的非全资子公司上市公司" sheetId="319" r:id="rId375"/>
    <sheet name="重要非全资子企业期末资产负债上市公司" sheetId="321" r:id="rId376"/>
    <sheet name="重要非全资子企业期初资产负债上市公司" sheetId="322" r:id="rId377"/>
    <sheet name="重要非全资子企业本期损益和现金流量情况上市公司" sheetId="323" r:id="rId378"/>
    <sheet name="重要非全资子企业上期损益和现金流量情况上市公司" sheetId="324" r:id="rId379"/>
    <sheet name="在子公司的所有者权益份额发生变化的情况说明上市公司" sheetId="325" r:id="rId380"/>
    <sheet name="交易对于少数股东权益及归属于母公司所有者权益的影响上市公司" sheetId="326" r:id="rId381"/>
    <sheet name="重要的合营企业或联营企业上市公司" sheetId="327" r:id="rId382"/>
    <sheet name="重要合营企业财务信息本期数上市公司" sheetId="329" r:id="rId383"/>
    <sheet name="重要合营企业财务信息上期数上市公司" sheetId="330" r:id="rId384"/>
    <sheet name="重要联营企业财务信息本期数上市公司" sheetId="331" r:id="rId385"/>
    <sheet name="重要联营企业财务信息上期数上市公司" sheetId="332" r:id="rId386"/>
    <sheet name="不重要合营企业和联营企业的汇总信息上市公司" sheetId="333" r:id="rId387"/>
    <sheet name="合营企业或联营企业发生的超额亏损上市公司" sheetId="334" r:id="rId388"/>
    <sheet name="重要的共同经营上市公司" sheetId="335" r:id="rId389"/>
    <sheet name="金融负债按剩余到期日分类期末数上市公司" sheetId="337" r:id="rId390"/>
    <sheet name="金融负债按剩余到期日分类期初数上市公司" sheetId="336" r:id="rId391"/>
    <sheet name="利率敏感性分析上市公司" sheetId="338" r:id="rId392"/>
    <sheet name="外币货币性项目上市公司" sheetId="339" r:id="rId393"/>
    <sheet name="外汇风险敏感性分析" sheetId="340" r:id="rId394"/>
    <sheet name="以公允价值计量的资产和负债的期末公允价值明细情况上市公司" sheetId="341" r:id="rId395"/>
    <sheet name="第三层次公允价值计量项目期初与期末账面价值间的调节信息上市公司" sheetId="342" r:id="rId396"/>
    <sheet name="不以公允价值计量的金融资产和金融负债的公允价值情况上市公司" sheetId="343" r:id="rId397"/>
    <sheet name="资本承诺上市公司" sheetId="345" r:id="rId398"/>
    <sheet name="分部信息业务分部期末数" sheetId="347" r:id="rId399"/>
    <sheet name="分部信息业务分部期初数" sheetId="349" r:id="rId400"/>
    <sheet name="按收入来源地划分的对外交易收入" sheetId="348" r:id="rId401"/>
    <sheet name="按资产所在地划分的非流动资产" sheetId="350" r:id="rId402"/>
    <sheet name="本公司对主要客户的依赖程度" sheetId="351" r:id="rId403"/>
    <sheet name="非经常性损益上市公司" sheetId="352" r:id="rId404"/>
    <sheet name="净资产收益率及每股收益上市公司" sheetId="353" r:id="rId405"/>
    <sheet name="净资产收益率计算表" sheetId="397" r:id="rId406"/>
    <sheet name="每股收益计算表" sheetId="398" r:id="rId407"/>
    <sheet name="分类表" sheetId="358" r:id="rId408"/>
    <sheet name="信息分类表" sheetId="429" r:id="rId409"/>
    <sheet name="setting" sheetId="505" r:id="rId410"/>
  </sheets>
  <externalReferences>
    <externalReference r:id="rId411"/>
    <externalReference r:id="rId412"/>
    <externalReference r:id="rId413"/>
  </externalReferences>
  <definedNames>
    <definedName name="_xlnm._FilterDatabase" localSheetId="3" hidden="1">科目余额表!$A$1:$M$807</definedName>
    <definedName name="_xlnm._FilterDatabase" localSheetId="18" hidden="1">现金流量表计算表!$A$1:$K$390</definedName>
    <definedName name="ExternalData_1" localSheetId="407" hidden="1">分类表!$A$1:$FH$109</definedName>
    <definedName name="ExternalData_1" localSheetId="408" hidden="1">信息分类表!$A$1:$E$13</definedName>
    <definedName name="_xlnm.Print_Area" localSheetId="5">本期ETY!$A$1:$I$225</definedName>
    <definedName name="_xlnm.Print_Area" localSheetId="4">本期TB!$A$1:$H$255</definedName>
    <definedName name="_xlnm.Print_Area" localSheetId="9">上期ETY!$A$1:$I$225</definedName>
    <definedName name="_xlnm.Print_Area" localSheetId="8">上期TB!$A$1:$H$255</definedName>
    <definedName name="_xlnm.Print_Area" localSheetId="7">新准则转换ETY!$A$1:$I$225</definedName>
    <definedName name="_xlnm.Print_Area" localSheetId="6">新准则转换TB!$A$1:$H$253</definedName>
    <definedName name="企业板块">[1]枚举字典!$C$280:$C$299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 i="512" l="1"/>
  <c r="B3" i="512"/>
  <c r="A4" i="512"/>
  <c r="B4" i="512"/>
  <c r="A5" i="512"/>
  <c r="B5" i="512"/>
  <c r="A6" i="512"/>
  <c r="B6" i="512"/>
  <c r="A7" i="512"/>
  <c r="B7" i="512"/>
  <c r="A8" i="512"/>
  <c r="B8" i="512"/>
  <c r="A9" i="512"/>
  <c r="B9" i="512"/>
  <c r="A10" i="512"/>
  <c r="B10" i="512"/>
  <c r="A11" i="512"/>
  <c r="B11" i="512"/>
  <c r="A12" i="512"/>
  <c r="B12" i="512"/>
  <c r="A13" i="512"/>
  <c r="B13" i="512"/>
  <c r="A14" i="512"/>
  <c r="B14" i="512"/>
  <c r="A15" i="512"/>
  <c r="B15" i="512"/>
  <c r="A16" i="512"/>
  <c r="B16" i="512"/>
  <c r="A17" i="512"/>
  <c r="B17" i="512"/>
  <c r="A18" i="512"/>
  <c r="B18" i="512"/>
  <c r="A19" i="512"/>
  <c r="B19" i="512"/>
  <c r="A20" i="512"/>
  <c r="B20" i="512"/>
  <c r="A21" i="512"/>
  <c r="B21" i="512"/>
  <c r="A22" i="512"/>
  <c r="B22" i="512"/>
  <c r="A23" i="512"/>
  <c r="B23" i="512"/>
  <c r="A24" i="512"/>
  <c r="B24" i="512"/>
  <c r="A25" i="512"/>
  <c r="B25" i="512"/>
  <c r="A26" i="512"/>
  <c r="B26" i="512"/>
  <c r="A27" i="512"/>
  <c r="B27" i="512"/>
  <c r="A28" i="512"/>
  <c r="B28" i="512"/>
  <c r="A29" i="512"/>
  <c r="B29" i="512"/>
  <c r="A30" i="512"/>
  <c r="B30" i="512"/>
  <c r="A31" i="512"/>
  <c r="B31" i="512"/>
  <c r="A32" i="512"/>
  <c r="B32" i="512"/>
  <c r="A33" i="512"/>
  <c r="B33" i="512"/>
  <c r="A34" i="512"/>
  <c r="B34" i="512"/>
  <c r="A35" i="512"/>
  <c r="B35" i="512"/>
  <c r="A36" i="512"/>
  <c r="B36" i="512"/>
  <c r="A37" i="512"/>
  <c r="B37" i="512"/>
  <c r="A38" i="512"/>
  <c r="B38" i="512"/>
  <c r="A39" i="512"/>
  <c r="B39" i="512"/>
  <c r="A40" i="512"/>
  <c r="B40" i="512"/>
  <c r="A41" i="512"/>
  <c r="B41" i="512"/>
  <c r="A42" i="512"/>
  <c r="B42" i="512"/>
  <c r="A43" i="512"/>
  <c r="B43" i="512"/>
  <c r="A44" i="512"/>
  <c r="B44" i="512"/>
  <c r="A45" i="512"/>
  <c r="B45" i="512"/>
  <c r="A46" i="512"/>
  <c r="B46" i="512"/>
  <c r="A47" i="512"/>
  <c r="B47" i="512"/>
  <c r="A48" i="512"/>
  <c r="B48" i="512"/>
  <c r="A49" i="512"/>
  <c r="B49" i="512"/>
  <c r="A50" i="512"/>
  <c r="B50" i="512"/>
  <c r="B2" i="512"/>
  <c r="A2" i="512"/>
  <c r="J50" i="512"/>
  <c r="I50" i="512"/>
  <c r="F50" i="512"/>
  <c r="H50" i="512" s="1"/>
  <c r="E50" i="512"/>
  <c r="G50" i="512" s="1"/>
  <c r="D50" i="512"/>
  <c r="C50" i="512"/>
  <c r="J49" i="512"/>
  <c r="I49" i="512"/>
  <c r="F49" i="512"/>
  <c r="H49" i="512" s="1"/>
  <c r="E49" i="512"/>
  <c r="G49" i="512" s="1"/>
  <c r="D49" i="512"/>
  <c r="C49" i="512"/>
  <c r="J48" i="512"/>
  <c r="I48" i="512"/>
  <c r="F48" i="512"/>
  <c r="H48" i="512" s="1"/>
  <c r="E48" i="512"/>
  <c r="G48" i="512" s="1"/>
  <c r="D48" i="512"/>
  <c r="C48" i="512"/>
  <c r="J47" i="512"/>
  <c r="I47" i="512"/>
  <c r="F47" i="512"/>
  <c r="H47" i="512" s="1"/>
  <c r="E47" i="512"/>
  <c r="G47" i="512" s="1"/>
  <c r="D47" i="512"/>
  <c r="C47" i="512"/>
  <c r="J46" i="512"/>
  <c r="I46" i="512"/>
  <c r="F46" i="512"/>
  <c r="H46" i="512" s="1"/>
  <c r="E46" i="512"/>
  <c r="G46" i="512" s="1"/>
  <c r="D46" i="512"/>
  <c r="C46" i="512"/>
  <c r="J45" i="512"/>
  <c r="I45" i="512"/>
  <c r="F45" i="512"/>
  <c r="H45" i="512" s="1"/>
  <c r="E45" i="512"/>
  <c r="G45" i="512" s="1"/>
  <c r="D45" i="512"/>
  <c r="C45" i="512"/>
  <c r="J44" i="512"/>
  <c r="I44" i="512"/>
  <c r="F44" i="512"/>
  <c r="H44" i="512" s="1"/>
  <c r="E44" i="512"/>
  <c r="G44" i="512" s="1"/>
  <c r="D44" i="512"/>
  <c r="C44" i="512"/>
  <c r="J43" i="512"/>
  <c r="I43" i="512"/>
  <c r="F43" i="512"/>
  <c r="H43" i="512" s="1"/>
  <c r="E43" i="512"/>
  <c r="G43" i="512" s="1"/>
  <c r="D43" i="512"/>
  <c r="C43" i="512"/>
  <c r="J42" i="512"/>
  <c r="I42" i="512"/>
  <c r="F42" i="512"/>
  <c r="H42" i="512" s="1"/>
  <c r="E42" i="512"/>
  <c r="G42" i="512" s="1"/>
  <c r="D42" i="512"/>
  <c r="C42" i="512"/>
  <c r="J41" i="512"/>
  <c r="I41" i="512"/>
  <c r="F41" i="512"/>
  <c r="H41" i="512" s="1"/>
  <c r="E41" i="512"/>
  <c r="G41" i="512" s="1"/>
  <c r="D41" i="512"/>
  <c r="C41" i="512"/>
  <c r="J40" i="512"/>
  <c r="I40" i="512"/>
  <c r="F40" i="512"/>
  <c r="H40" i="512" s="1"/>
  <c r="E40" i="512"/>
  <c r="G40" i="512" s="1"/>
  <c r="D40" i="512"/>
  <c r="C40" i="512"/>
  <c r="J39" i="512"/>
  <c r="I39" i="512"/>
  <c r="F39" i="512"/>
  <c r="H39" i="512" s="1"/>
  <c r="E39" i="512"/>
  <c r="G39" i="512" s="1"/>
  <c r="D39" i="512"/>
  <c r="C39" i="512"/>
  <c r="J38" i="512"/>
  <c r="I38" i="512"/>
  <c r="F38" i="512"/>
  <c r="H38" i="512" s="1"/>
  <c r="E38" i="512"/>
  <c r="G38" i="512" s="1"/>
  <c r="D38" i="512"/>
  <c r="C38" i="512"/>
  <c r="J37" i="512"/>
  <c r="I37" i="512"/>
  <c r="F37" i="512"/>
  <c r="H37" i="512" s="1"/>
  <c r="E37" i="512"/>
  <c r="G37" i="512" s="1"/>
  <c r="D37" i="512"/>
  <c r="C37" i="512"/>
  <c r="J36" i="512"/>
  <c r="I36" i="512"/>
  <c r="F36" i="512"/>
  <c r="H36" i="512" s="1"/>
  <c r="E36" i="512"/>
  <c r="G36" i="512" s="1"/>
  <c r="D36" i="512"/>
  <c r="C36" i="512"/>
  <c r="J35" i="512"/>
  <c r="I35" i="512"/>
  <c r="F35" i="512"/>
  <c r="H35" i="512" s="1"/>
  <c r="E35" i="512"/>
  <c r="G35" i="512" s="1"/>
  <c r="D35" i="512"/>
  <c r="C35" i="512"/>
  <c r="J34" i="512"/>
  <c r="I34" i="512"/>
  <c r="F34" i="512"/>
  <c r="H34" i="512" s="1"/>
  <c r="E34" i="512"/>
  <c r="G34" i="512" s="1"/>
  <c r="D34" i="512"/>
  <c r="C34" i="512"/>
  <c r="J33" i="512"/>
  <c r="I33" i="512"/>
  <c r="F33" i="512"/>
  <c r="H33" i="512" s="1"/>
  <c r="E33" i="512"/>
  <c r="G33" i="512" s="1"/>
  <c r="D33" i="512"/>
  <c r="C33" i="512"/>
  <c r="J32" i="512"/>
  <c r="I32" i="512"/>
  <c r="F32" i="512"/>
  <c r="H32" i="512" s="1"/>
  <c r="E32" i="512"/>
  <c r="G32" i="512" s="1"/>
  <c r="D32" i="512"/>
  <c r="C32" i="512"/>
  <c r="J31" i="512"/>
  <c r="I31" i="512"/>
  <c r="F31" i="512"/>
  <c r="H31" i="512" s="1"/>
  <c r="E31" i="512"/>
  <c r="G31" i="512" s="1"/>
  <c r="D31" i="512"/>
  <c r="C31" i="512"/>
  <c r="J30" i="512"/>
  <c r="I30" i="512"/>
  <c r="F30" i="512"/>
  <c r="H30" i="512" s="1"/>
  <c r="E30" i="512"/>
  <c r="G30" i="512" s="1"/>
  <c r="D30" i="512"/>
  <c r="C30" i="512"/>
  <c r="J29" i="512"/>
  <c r="I29" i="512"/>
  <c r="F29" i="512"/>
  <c r="H29" i="512" s="1"/>
  <c r="E29" i="512"/>
  <c r="G29" i="512" s="1"/>
  <c r="D29" i="512"/>
  <c r="C29" i="512"/>
  <c r="J28" i="512"/>
  <c r="I28" i="512"/>
  <c r="F28" i="512"/>
  <c r="H28" i="512" s="1"/>
  <c r="E28" i="512"/>
  <c r="G28" i="512" s="1"/>
  <c r="D28" i="512"/>
  <c r="C28" i="512"/>
  <c r="J27" i="512"/>
  <c r="I27" i="512"/>
  <c r="F27" i="512"/>
  <c r="H27" i="512" s="1"/>
  <c r="E27" i="512"/>
  <c r="G27" i="512" s="1"/>
  <c r="D27" i="512"/>
  <c r="C27" i="512"/>
  <c r="J26" i="512"/>
  <c r="I26" i="512"/>
  <c r="F26" i="512"/>
  <c r="H26" i="512" s="1"/>
  <c r="E26" i="512"/>
  <c r="G26" i="512" s="1"/>
  <c r="D26" i="512"/>
  <c r="C26" i="512"/>
  <c r="J25" i="512"/>
  <c r="I25" i="512"/>
  <c r="F25" i="512"/>
  <c r="H25" i="512" s="1"/>
  <c r="E25" i="512"/>
  <c r="G25" i="512" s="1"/>
  <c r="D25" i="512"/>
  <c r="C25" i="512"/>
  <c r="J24" i="512"/>
  <c r="I24" i="512"/>
  <c r="F24" i="512"/>
  <c r="H24" i="512" s="1"/>
  <c r="E24" i="512"/>
  <c r="G24" i="512" s="1"/>
  <c r="D24" i="512"/>
  <c r="C24" i="512"/>
  <c r="J23" i="512"/>
  <c r="I23" i="512"/>
  <c r="F23" i="512"/>
  <c r="H23" i="512" s="1"/>
  <c r="E23" i="512"/>
  <c r="G23" i="512" s="1"/>
  <c r="D23" i="512"/>
  <c r="C23" i="512"/>
  <c r="J22" i="512"/>
  <c r="I22" i="512"/>
  <c r="F22" i="512"/>
  <c r="H22" i="512" s="1"/>
  <c r="E22" i="512"/>
  <c r="G22" i="512" s="1"/>
  <c r="D22" i="512"/>
  <c r="C22" i="512"/>
  <c r="J21" i="512"/>
  <c r="I21" i="512"/>
  <c r="F21" i="512"/>
  <c r="H21" i="512" s="1"/>
  <c r="E21" i="512"/>
  <c r="G21" i="512" s="1"/>
  <c r="D21" i="512"/>
  <c r="C21" i="512"/>
  <c r="J20" i="512"/>
  <c r="I20" i="512"/>
  <c r="F20" i="512"/>
  <c r="H20" i="512" s="1"/>
  <c r="E20" i="512"/>
  <c r="G20" i="512" s="1"/>
  <c r="D20" i="512"/>
  <c r="C20" i="512"/>
  <c r="J19" i="512"/>
  <c r="I19" i="512"/>
  <c r="F19" i="512"/>
  <c r="H19" i="512" s="1"/>
  <c r="E19" i="512"/>
  <c r="G19" i="512" s="1"/>
  <c r="D19" i="512"/>
  <c r="C19" i="512"/>
  <c r="J18" i="512"/>
  <c r="I18" i="512"/>
  <c r="F18" i="512"/>
  <c r="H18" i="512" s="1"/>
  <c r="E18" i="512"/>
  <c r="G18" i="512" s="1"/>
  <c r="D18" i="512"/>
  <c r="C18" i="512"/>
  <c r="J17" i="512"/>
  <c r="I17" i="512"/>
  <c r="F17" i="512"/>
  <c r="H17" i="512" s="1"/>
  <c r="E17" i="512"/>
  <c r="G17" i="512" s="1"/>
  <c r="D17" i="512"/>
  <c r="C17" i="512"/>
  <c r="J16" i="512"/>
  <c r="I16" i="512"/>
  <c r="F16" i="512"/>
  <c r="H16" i="512" s="1"/>
  <c r="E16" i="512"/>
  <c r="G16" i="512" s="1"/>
  <c r="D16" i="512"/>
  <c r="C16" i="512"/>
  <c r="J15" i="512"/>
  <c r="I15" i="512"/>
  <c r="F15" i="512"/>
  <c r="H15" i="512" s="1"/>
  <c r="E15" i="512"/>
  <c r="G15" i="512" s="1"/>
  <c r="D15" i="512"/>
  <c r="C15" i="512"/>
  <c r="J14" i="512"/>
  <c r="I14" i="512"/>
  <c r="F14" i="512"/>
  <c r="H14" i="512" s="1"/>
  <c r="E14" i="512"/>
  <c r="G14" i="512" s="1"/>
  <c r="D14" i="512"/>
  <c r="C14" i="512"/>
  <c r="J13" i="512"/>
  <c r="I13" i="512"/>
  <c r="F13" i="512"/>
  <c r="H13" i="512" s="1"/>
  <c r="E13" i="512"/>
  <c r="G13" i="512" s="1"/>
  <c r="D13" i="512"/>
  <c r="C13" i="512"/>
  <c r="J12" i="512"/>
  <c r="I12" i="512"/>
  <c r="F12" i="512"/>
  <c r="H12" i="512" s="1"/>
  <c r="E12" i="512"/>
  <c r="G12" i="512" s="1"/>
  <c r="D12" i="512"/>
  <c r="C12" i="512"/>
  <c r="J11" i="512"/>
  <c r="I11" i="512"/>
  <c r="F11" i="512"/>
  <c r="H11" i="512" s="1"/>
  <c r="E11" i="512"/>
  <c r="G11" i="512" s="1"/>
  <c r="D11" i="512"/>
  <c r="C11" i="512"/>
  <c r="J10" i="512"/>
  <c r="I10" i="512"/>
  <c r="F10" i="512"/>
  <c r="H10" i="512" s="1"/>
  <c r="E10" i="512"/>
  <c r="G10" i="512" s="1"/>
  <c r="D10" i="512"/>
  <c r="C10" i="512"/>
  <c r="J9" i="512"/>
  <c r="I9" i="512"/>
  <c r="F9" i="512"/>
  <c r="H9" i="512" s="1"/>
  <c r="E9" i="512"/>
  <c r="G9" i="512" s="1"/>
  <c r="D9" i="512"/>
  <c r="C9" i="512"/>
  <c r="J8" i="512"/>
  <c r="I8" i="512"/>
  <c r="F8" i="512"/>
  <c r="H8" i="512" s="1"/>
  <c r="E8" i="512"/>
  <c r="G8" i="512" s="1"/>
  <c r="D8" i="512"/>
  <c r="C8" i="512"/>
  <c r="J7" i="512"/>
  <c r="I7" i="512"/>
  <c r="F7" i="512"/>
  <c r="H7" i="512" s="1"/>
  <c r="E7" i="512"/>
  <c r="G7" i="512" s="1"/>
  <c r="D7" i="512"/>
  <c r="C7" i="512"/>
  <c r="J6" i="512"/>
  <c r="I6" i="512"/>
  <c r="F6" i="512"/>
  <c r="H6" i="512" s="1"/>
  <c r="E6" i="512"/>
  <c r="G6" i="512" s="1"/>
  <c r="D6" i="512"/>
  <c r="C6" i="512"/>
  <c r="J5" i="512"/>
  <c r="I5" i="512"/>
  <c r="F5" i="512"/>
  <c r="H5" i="512" s="1"/>
  <c r="E5" i="512"/>
  <c r="G5" i="512" s="1"/>
  <c r="D5" i="512"/>
  <c r="C5" i="512"/>
  <c r="J4" i="512"/>
  <c r="I4" i="512"/>
  <c r="F4" i="512"/>
  <c r="H4" i="512" s="1"/>
  <c r="E4" i="512"/>
  <c r="G4" i="512" s="1"/>
  <c r="D4" i="512"/>
  <c r="C4" i="512"/>
  <c r="J3" i="512"/>
  <c r="I3" i="512"/>
  <c r="F3" i="512"/>
  <c r="H3" i="512" s="1"/>
  <c r="E3" i="512"/>
  <c r="G3" i="512" s="1"/>
  <c r="D3" i="512"/>
  <c r="C3" i="512"/>
  <c r="J2" i="512"/>
  <c r="I2" i="512"/>
  <c r="F2" i="512"/>
  <c r="H2" i="512" s="1"/>
  <c r="E2" i="512"/>
  <c r="G2" i="512" s="1"/>
  <c r="D2" i="512"/>
  <c r="C2" i="512"/>
  <c r="D3" i="110" l="1"/>
  <c r="D2" i="110"/>
  <c r="C2" i="110"/>
  <c r="C4" i="110" s="1"/>
  <c r="B3" i="393" s="1"/>
  <c r="C3" i="110"/>
  <c r="B2" i="110"/>
  <c r="B4" i="110" s="1"/>
  <c r="B3" i="110"/>
  <c r="E2" i="110"/>
  <c r="A170" i="273"/>
  <c r="C170" i="273" s="1"/>
  <c r="C5" i="511"/>
  <c r="B5" i="511"/>
  <c r="E8" i="510"/>
  <c r="C8" i="510"/>
  <c r="D8" i="510"/>
  <c r="B8" i="510"/>
  <c r="G3" i="481"/>
  <c r="G4" i="481"/>
  <c r="G5" i="481"/>
  <c r="G6" i="481"/>
  <c r="G7" i="481"/>
  <c r="G8" i="481"/>
  <c r="G9" i="481"/>
  <c r="G10" i="481"/>
  <c r="G11" i="481"/>
  <c r="G12" i="481"/>
  <c r="G13" i="481"/>
  <c r="G14" i="481"/>
  <c r="G15" i="481"/>
  <c r="G16" i="481"/>
  <c r="G17" i="481"/>
  <c r="G18" i="481"/>
  <c r="G19" i="481"/>
  <c r="G2" i="481"/>
  <c r="F8" i="482"/>
  <c r="A6" i="510"/>
  <c r="E6" i="510" s="1"/>
  <c r="A7" i="510"/>
  <c r="E7" i="510" s="1"/>
  <c r="A4" i="510"/>
  <c r="C4" i="510" s="1"/>
  <c r="A5" i="510"/>
  <c r="C5" i="510" s="1"/>
  <c r="A3" i="510"/>
  <c r="D3" i="510" s="1"/>
  <c r="B170" i="273" l="1"/>
  <c r="D4" i="110"/>
  <c r="B7" i="510"/>
  <c r="B5" i="510"/>
  <c r="F5" i="510" s="1"/>
  <c r="D6" i="510"/>
  <c r="C6" i="510"/>
  <c r="E5" i="510"/>
  <c r="D5" i="510"/>
  <c r="D7" i="510"/>
  <c r="E4" i="510"/>
  <c r="B4" i="510"/>
  <c r="C7" i="510"/>
  <c r="D4" i="510"/>
  <c r="D2" i="510" s="1"/>
  <c r="D9" i="510" s="1"/>
  <c r="B6" i="510"/>
  <c r="F6" i="510" s="1"/>
  <c r="E3" i="510"/>
  <c r="C3" i="510"/>
  <c r="B3" i="510"/>
  <c r="C3" i="508"/>
  <c r="D3" i="508"/>
  <c r="E3" i="508"/>
  <c r="B3" i="508"/>
  <c r="F4" i="508"/>
  <c r="C2" i="508"/>
  <c r="D2" i="508"/>
  <c r="E2" i="508"/>
  <c r="B2" i="508"/>
  <c r="B7" i="509"/>
  <c r="B6" i="509"/>
  <c r="B5" i="509"/>
  <c r="B4" i="509"/>
  <c r="B3" i="509"/>
  <c r="B2" i="509"/>
  <c r="B3" i="67"/>
  <c r="C3" i="67"/>
  <c r="D3" i="54"/>
  <c r="D2" i="54"/>
  <c r="B3" i="54"/>
  <c r="B2" i="54"/>
  <c r="B7" i="100"/>
  <c r="B6" i="100"/>
  <c r="B5" i="100"/>
  <c r="B4" i="100"/>
  <c r="B3" i="100"/>
  <c r="B2" i="100"/>
  <c r="C5" i="84"/>
  <c r="B5" i="84"/>
  <c r="B4" i="507"/>
  <c r="F86" i="268"/>
  <c r="G86" i="268"/>
  <c r="F87" i="268"/>
  <c r="G87" i="268"/>
  <c r="E20" i="263"/>
  <c r="E19" i="263"/>
  <c r="E18" i="263"/>
  <c r="E17" i="263"/>
  <c r="E16" i="263"/>
  <c r="E15" i="263"/>
  <c r="E14" i="263"/>
  <c r="E13" i="263"/>
  <c r="E12" i="263"/>
  <c r="E11" i="263"/>
  <c r="E10" i="263"/>
  <c r="E9" i="263"/>
  <c r="E8" i="263"/>
  <c r="E7" i="263"/>
  <c r="E6" i="263"/>
  <c r="E5" i="263"/>
  <c r="E4" i="263"/>
  <c r="E3" i="263"/>
  <c r="E2" i="263"/>
  <c r="B11" i="260"/>
  <c r="B11" i="259"/>
  <c r="C5" i="503"/>
  <c r="B5" i="503"/>
  <c r="B14" i="258"/>
  <c r="B12" i="258"/>
  <c r="C9" i="257"/>
  <c r="B9" i="257"/>
  <c r="C8" i="256"/>
  <c r="B8" i="256"/>
  <c r="C9" i="255"/>
  <c r="B9" i="255"/>
  <c r="C9" i="254"/>
  <c r="B9" i="254"/>
  <c r="C11" i="253"/>
  <c r="B11" i="253"/>
  <c r="B2" i="252"/>
  <c r="C2" i="252"/>
  <c r="C11" i="252" s="1"/>
  <c r="B10" i="251"/>
  <c r="B9" i="251"/>
  <c r="B5" i="251"/>
  <c r="C5" i="250"/>
  <c r="D5" i="249"/>
  <c r="C5" i="249"/>
  <c r="B5" i="249"/>
  <c r="D6" i="248"/>
  <c r="C6" i="248"/>
  <c r="B6" i="248"/>
  <c r="D8" i="247"/>
  <c r="C8" i="247"/>
  <c r="B8" i="247"/>
  <c r="C17" i="246"/>
  <c r="B17" i="246"/>
  <c r="C6" i="245"/>
  <c r="B6" i="245"/>
  <c r="C9" i="244"/>
  <c r="B9" i="244"/>
  <c r="C4" i="243"/>
  <c r="B4" i="243"/>
  <c r="C12" i="242"/>
  <c r="B12" i="242"/>
  <c r="C8" i="241"/>
  <c r="B8" i="241"/>
  <c r="C24" i="240"/>
  <c r="B24" i="240"/>
  <c r="C28" i="238"/>
  <c r="B28" i="238"/>
  <c r="C21" i="237"/>
  <c r="B21" i="237"/>
  <c r="C12" i="236"/>
  <c r="B12" i="236"/>
  <c r="D7" i="231"/>
  <c r="E6" i="231"/>
  <c r="E5" i="231"/>
  <c r="E4" i="231"/>
  <c r="E3" i="231"/>
  <c r="D3" i="230"/>
  <c r="C3" i="230"/>
  <c r="B3" i="230"/>
  <c r="E2" i="230"/>
  <c r="E3" i="230" s="1"/>
  <c r="I13" i="229"/>
  <c r="I12" i="229"/>
  <c r="I11" i="229"/>
  <c r="I10" i="229"/>
  <c r="I9" i="229"/>
  <c r="I8" i="229"/>
  <c r="I6" i="229"/>
  <c r="I5" i="229"/>
  <c r="I4" i="229"/>
  <c r="I3" i="229"/>
  <c r="H7" i="229"/>
  <c r="G7" i="229"/>
  <c r="F7" i="229"/>
  <c r="E7" i="229"/>
  <c r="D7" i="229"/>
  <c r="C7" i="229"/>
  <c r="B7" i="229"/>
  <c r="H2" i="229"/>
  <c r="G2" i="229"/>
  <c r="F2" i="229"/>
  <c r="E2" i="229"/>
  <c r="D2" i="229"/>
  <c r="C2" i="229"/>
  <c r="B2" i="229"/>
  <c r="D4" i="228"/>
  <c r="C4" i="228"/>
  <c r="B4" i="228"/>
  <c r="E3" i="228"/>
  <c r="E2" i="228"/>
  <c r="G4" i="227"/>
  <c r="F4" i="227"/>
  <c r="E4" i="227"/>
  <c r="D4" i="227"/>
  <c r="C4" i="227"/>
  <c r="B4" i="227"/>
  <c r="I3" i="227"/>
  <c r="H3" i="227"/>
  <c r="I2" i="227"/>
  <c r="H2" i="227"/>
  <c r="E6" i="225"/>
  <c r="D6" i="225"/>
  <c r="B6" i="225"/>
  <c r="F5" i="225"/>
  <c r="F4" i="225"/>
  <c r="F3" i="225"/>
  <c r="F2" i="225"/>
  <c r="C5" i="224"/>
  <c r="B5" i="224"/>
  <c r="D3" i="222"/>
  <c r="C3" i="222"/>
  <c r="B3" i="222"/>
  <c r="C7" i="221"/>
  <c r="B7" i="221"/>
  <c r="C6" i="221"/>
  <c r="B6" i="221"/>
  <c r="C5" i="221"/>
  <c r="B5" i="221"/>
  <c r="C4" i="221"/>
  <c r="B4" i="221"/>
  <c r="C3" i="221"/>
  <c r="B3" i="221"/>
  <c r="C2" i="221"/>
  <c r="B2" i="221"/>
  <c r="C6" i="220"/>
  <c r="B6" i="220"/>
  <c r="C12" i="219"/>
  <c r="B12" i="219"/>
  <c r="C11" i="218"/>
  <c r="B11" i="218"/>
  <c r="C8" i="218"/>
  <c r="B8" i="218"/>
  <c r="C3" i="218"/>
  <c r="B3" i="218"/>
  <c r="C5" i="217"/>
  <c r="B5" i="217"/>
  <c r="C5" i="216"/>
  <c r="B4" i="216"/>
  <c r="J7" i="208"/>
  <c r="I7" i="208"/>
  <c r="H7" i="208"/>
  <c r="G7" i="208"/>
  <c r="F7" i="208"/>
  <c r="K6" i="208"/>
  <c r="K5" i="208"/>
  <c r="K4" i="208"/>
  <c r="K3" i="208"/>
  <c r="K2" i="208"/>
  <c r="C6" i="207"/>
  <c r="B6" i="207"/>
  <c r="C5" i="207"/>
  <c r="B5" i="207"/>
  <c r="C4" i="207"/>
  <c r="B4" i="207"/>
  <c r="C3" i="207"/>
  <c r="B3" i="207"/>
  <c r="C2" i="207"/>
  <c r="B2" i="207"/>
  <c r="C6" i="205"/>
  <c r="B6" i="205"/>
  <c r="C6" i="204"/>
  <c r="B6" i="204"/>
  <c r="C5" i="203"/>
  <c r="B5" i="203"/>
  <c r="B4" i="202"/>
  <c r="C6" i="201"/>
  <c r="C4" i="196" s="1"/>
  <c r="B5" i="201"/>
  <c r="B4" i="201"/>
  <c r="B3" i="201"/>
  <c r="B2" i="201"/>
  <c r="C4" i="199"/>
  <c r="B4" i="199"/>
  <c r="C3" i="199"/>
  <c r="B3" i="199"/>
  <c r="C2" i="199"/>
  <c r="B2" i="199"/>
  <c r="C7" i="197"/>
  <c r="C2" i="196" s="1"/>
  <c r="B6" i="197"/>
  <c r="B5" i="197"/>
  <c r="B4" i="197"/>
  <c r="B3" i="197"/>
  <c r="B2" i="197"/>
  <c r="D16" i="195"/>
  <c r="C16" i="195"/>
  <c r="B16" i="195"/>
  <c r="D15" i="195"/>
  <c r="C15" i="195"/>
  <c r="B15" i="195"/>
  <c r="D14" i="195"/>
  <c r="C14" i="195"/>
  <c r="B14" i="195"/>
  <c r="D13" i="195"/>
  <c r="C13" i="195"/>
  <c r="B13" i="195"/>
  <c r="D12" i="195"/>
  <c r="C12" i="195"/>
  <c r="B12" i="195"/>
  <c r="D11" i="195"/>
  <c r="C11" i="195"/>
  <c r="B11" i="195"/>
  <c r="D10" i="195"/>
  <c r="C10" i="195"/>
  <c r="B10" i="195"/>
  <c r="D9" i="195"/>
  <c r="C9" i="195"/>
  <c r="B9" i="195"/>
  <c r="D8" i="195"/>
  <c r="C8" i="195"/>
  <c r="B8" i="195"/>
  <c r="D7" i="195"/>
  <c r="C7" i="195"/>
  <c r="B7" i="195"/>
  <c r="D6" i="195"/>
  <c r="C6" i="195"/>
  <c r="B6" i="195"/>
  <c r="D5" i="195"/>
  <c r="C5" i="195"/>
  <c r="B5" i="195"/>
  <c r="D4" i="195"/>
  <c r="C4" i="195"/>
  <c r="B4" i="195"/>
  <c r="D3" i="195"/>
  <c r="C3" i="195"/>
  <c r="B3" i="195"/>
  <c r="D2" i="195"/>
  <c r="C2" i="195"/>
  <c r="B2" i="195"/>
  <c r="D4" i="194"/>
  <c r="C4" i="194"/>
  <c r="B4" i="194"/>
  <c r="D3" i="194"/>
  <c r="C3" i="194"/>
  <c r="B3" i="194"/>
  <c r="D2" i="194"/>
  <c r="C2" i="194"/>
  <c r="B2" i="194"/>
  <c r="D13" i="193"/>
  <c r="C13" i="193"/>
  <c r="B13" i="193"/>
  <c r="D12" i="193"/>
  <c r="C12" i="193"/>
  <c r="B12" i="193"/>
  <c r="D11" i="193"/>
  <c r="C11" i="193"/>
  <c r="B11" i="193"/>
  <c r="D10" i="193"/>
  <c r="C10" i="193"/>
  <c r="B10" i="193"/>
  <c r="D9" i="193"/>
  <c r="C9" i="193"/>
  <c r="B9" i="193"/>
  <c r="D8" i="193"/>
  <c r="C8" i="193"/>
  <c r="B8" i="193"/>
  <c r="D7" i="193"/>
  <c r="C7" i="193"/>
  <c r="B7" i="193"/>
  <c r="D6" i="193"/>
  <c r="C6" i="193"/>
  <c r="B6" i="193"/>
  <c r="D5" i="193"/>
  <c r="C5" i="193"/>
  <c r="B5" i="193"/>
  <c r="D3" i="193"/>
  <c r="C3" i="193"/>
  <c r="B3" i="193"/>
  <c r="D2" i="193"/>
  <c r="C2" i="193"/>
  <c r="B2" i="193"/>
  <c r="E6" i="192"/>
  <c r="E5" i="192"/>
  <c r="E4" i="192"/>
  <c r="C4" i="191"/>
  <c r="B4" i="191"/>
  <c r="B5" i="190"/>
  <c r="C6" i="388"/>
  <c r="B5" i="388"/>
  <c r="B210" i="273" s="1"/>
  <c r="B4" i="388"/>
  <c r="B209" i="273" s="1"/>
  <c r="B3" i="388"/>
  <c r="B2" i="388"/>
  <c r="C4" i="189"/>
  <c r="B3" i="189"/>
  <c r="B2" i="189"/>
  <c r="B5" i="188"/>
  <c r="C6" i="187"/>
  <c r="B5" i="187"/>
  <c r="B205" i="273" s="1"/>
  <c r="B4" i="187"/>
  <c r="B3" i="187"/>
  <c r="B203" i="273" s="1"/>
  <c r="B2" i="187"/>
  <c r="C4" i="186"/>
  <c r="B4" i="186"/>
  <c r="C6" i="185"/>
  <c r="B6" i="185"/>
  <c r="C8" i="184"/>
  <c r="B8" i="184"/>
  <c r="C10" i="183"/>
  <c r="B10" i="183"/>
  <c r="B4" i="182"/>
  <c r="C5" i="181"/>
  <c r="B5" i="181"/>
  <c r="C4" i="181"/>
  <c r="B4" i="181"/>
  <c r="C3" i="181"/>
  <c r="B3" i="181"/>
  <c r="C2" i="181"/>
  <c r="B2" i="181"/>
  <c r="C7" i="180"/>
  <c r="B7" i="180"/>
  <c r="C6" i="180"/>
  <c r="B6" i="180"/>
  <c r="C5" i="180"/>
  <c r="B5" i="180"/>
  <c r="C4" i="180"/>
  <c r="B4" i="180"/>
  <c r="C3" i="180"/>
  <c r="B3" i="180"/>
  <c r="C2" i="180"/>
  <c r="B2" i="180"/>
  <c r="C3" i="178"/>
  <c r="C2" i="178" s="1"/>
  <c r="C4" i="178" s="1"/>
  <c r="E24" i="177"/>
  <c r="D24" i="177"/>
  <c r="C24" i="177"/>
  <c r="B24" i="177"/>
  <c r="E23" i="177"/>
  <c r="D23" i="177"/>
  <c r="C23" i="177"/>
  <c r="B23" i="177"/>
  <c r="E22" i="177"/>
  <c r="D22" i="177"/>
  <c r="C22" i="177"/>
  <c r="B22" i="177"/>
  <c r="E21" i="177"/>
  <c r="D21" i="177"/>
  <c r="C21" i="177"/>
  <c r="B21" i="177"/>
  <c r="E20" i="177"/>
  <c r="D20" i="177"/>
  <c r="C20" i="177"/>
  <c r="B20" i="177"/>
  <c r="E19" i="177"/>
  <c r="D19" i="177"/>
  <c r="C19" i="177"/>
  <c r="B19" i="177"/>
  <c r="E18" i="177"/>
  <c r="D18" i="177"/>
  <c r="C18" i="177"/>
  <c r="B18" i="177"/>
  <c r="E17" i="177"/>
  <c r="D17" i="177"/>
  <c r="C17" i="177"/>
  <c r="B17" i="177"/>
  <c r="E16" i="177"/>
  <c r="D16" i="177"/>
  <c r="C16" i="177"/>
  <c r="B16" i="177"/>
  <c r="E15" i="177"/>
  <c r="D15" i="177"/>
  <c r="C15" i="177"/>
  <c r="B15" i="177"/>
  <c r="E14" i="177"/>
  <c r="D14" i="177"/>
  <c r="C14" i="177"/>
  <c r="B14" i="177"/>
  <c r="E13" i="177"/>
  <c r="D13" i="177"/>
  <c r="C13" i="177"/>
  <c r="B13" i="177"/>
  <c r="E12" i="177"/>
  <c r="D12" i="177"/>
  <c r="C12" i="177"/>
  <c r="B12" i="177"/>
  <c r="E11" i="177"/>
  <c r="D11" i="177"/>
  <c r="C11" i="177"/>
  <c r="B11" i="177"/>
  <c r="E10" i="177"/>
  <c r="D10" i="177"/>
  <c r="C10" i="177"/>
  <c r="B10" i="177"/>
  <c r="E9" i="177"/>
  <c r="D9" i="177"/>
  <c r="C9" i="177"/>
  <c r="B9" i="177"/>
  <c r="E8" i="177"/>
  <c r="D8" i="177"/>
  <c r="C8" i="177"/>
  <c r="B8" i="177"/>
  <c r="D7" i="177"/>
  <c r="D6" i="177"/>
  <c r="D5" i="177"/>
  <c r="D4" i="177"/>
  <c r="D3" i="177"/>
  <c r="D2" i="177"/>
  <c r="E44" i="176"/>
  <c r="D44" i="176"/>
  <c r="C44" i="176"/>
  <c r="B44" i="176"/>
  <c r="E43" i="176"/>
  <c r="D43" i="176"/>
  <c r="C43" i="176"/>
  <c r="B43" i="176"/>
  <c r="E42" i="176"/>
  <c r="D42" i="176"/>
  <c r="C42" i="176"/>
  <c r="B42" i="176"/>
  <c r="E41" i="176"/>
  <c r="D41" i="176"/>
  <c r="C41" i="176"/>
  <c r="B41" i="176"/>
  <c r="E40" i="176"/>
  <c r="D40" i="176"/>
  <c r="C40" i="176"/>
  <c r="B40" i="176"/>
  <c r="E39" i="176"/>
  <c r="D39" i="176"/>
  <c r="C39" i="176"/>
  <c r="B39" i="176"/>
  <c r="D38" i="176"/>
  <c r="D37" i="176"/>
  <c r="D36" i="176"/>
  <c r="D35" i="176"/>
  <c r="D34" i="176"/>
  <c r="D33" i="176"/>
  <c r="D32" i="176"/>
  <c r="D31" i="176"/>
  <c r="D30" i="176"/>
  <c r="D29" i="176"/>
  <c r="D28" i="176"/>
  <c r="D27" i="176"/>
  <c r="D26" i="176"/>
  <c r="D25" i="176"/>
  <c r="D24" i="176"/>
  <c r="D23" i="176"/>
  <c r="D22" i="176"/>
  <c r="D21" i="176"/>
  <c r="D20" i="176"/>
  <c r="D19" i="176"/>
  <c r="D18" i="176"/>
  <c r="D17" i="176"/>
  <c r="D16" i="176"/>
  <c r="D15" i="176"/>
  <c r="D14" i="176"/>
  <c r="D13" i="176"/>
  <c r="D12" i="176"/>
  <c r="D11" i="176"/>
  <c r="D10" i="176"/>
  <c r="D9" i="176"/>
  <c r="D8" i="176"/>
  <c r="D7" i="176"/>
  <c r="D6" i="176"/>
  <c r="D5" i="176"/>
  <c r="D4" i="176"/>
  <c r="D3" i="176"/>
  <c r="D2" i="176"/>
  <c r="E9" i="175"/>
  <c r="D9" i="175"/>
  <c r="C9" i="175"/>
  <c r="B9" i="175"/>
  <c r="E8" i="175"/>
  <c r="D8" i="175"/>
  <c r="C8" i="175"/>
  <c r="B8" i="175"/>
  <c r="E7" i="175"/>
  <c r="D7" i="175"/>
  <c r="C7" i="175"/>
  <c r="B7" i="175"/>
  <c r="E6" i="175"/>
  <c r="D6" i="175"/>
  <c r="C6" i="175"/>
  <c r="B6" i="175"/>
  <c r="E5" i="175"/>
  <c r="D5" i="175"/>
  <c r="C5" i="175"/>
  <c r="B5" i="175"/>
  <c r="E4" i="175"/>
  <c r="D4" i="175"/>
  <c r="C4" i="175"/>
  <c r="B4" i="175"/>
  <c r="E3" i="175"/>
  <c r="D3" i="175"/>
  <c r="C3" i="175"/>
  <c r="B3" i="175"/>
  <c r="E2" i="175"/>
  <c r="D2" i="175"/>
  <c r="C2" i="175"/>
  <c r="B2" i="175"/>
  <c r="D4" i="174"/>
  <c r="C4" i="174"/>
  <c r="B4" i="174"/>
  <c r="E3" i="174"/>
  <c r="E2" i="174"/>
  <c r="D4" i="173"/>
  <c r="C4" i="173"/>
  <c r="B4" i="173"/>
  <c r="E3" i="173"/>
  <c r="E2" i="173"/>
  <c r="C4" i="166"/>
  <c r="B4" i="166"/>
  <c r="C3" i="166"/>
  <c r="B3" i="166"/>
  <c r="C2" i="166"/>
  <c r="B2" i="166"/>
  <c r="C4" i="161"/>
  <c r="C3" i="156" s="1"/>
  <c r="B3" i="161"/>
  <c r="B2" i="161"/>
  <c r="B4" i="161" s="1"/>
  <c r="B3" i="156" s="1"/>
  <c r="B4" i="159"/>
  <c r="B3" i="159"/>
  <c r="B2" i="159"/>
  <c r="B6" i="160"/>
  <c r="B5" i="160"/>
  <c r="B4" i="160"/>
  <c r="B3" i="160"/>
  <c r="B2" i="160"/>
  <c r="D5" i="158"/>
  <c r="C5" i="158"/>
  <c r="B5" i="158"/>
  <c r="D4" i="158"/>
  <c r="C4" i="158"/>
  <c r="B4" i="158"/>
  <c r="D3" i="158"/>
  <c r="C3" i="158"/>
  <c r="B3" i="158"/>
  <c r="D2" i="158"/>
  <c r="C2" i="158"/>
  <c r="B2" i="158"/>
  <c r="B3" i="155"/>
  <c r="B2" i="155"/>
  <c r="C9" i="154"/>
  <c r="B9" i="154"/>
  <c r="C8" i="154"/>
  <c r="B8" i="154"/>
  <c r="D6" i="154"/>
  <c r="C5" i="154"/>
  <c r="B5" i="154"/>
  <c r="C4" i="154"/>
  <c r="B4" i="154"/>
  <c r="C2" i="154"/>
  <c r="B2" i="154"/>
  <c r="C11" i="152"/>
  <c r="B11" i="152"/>
  <c r="C10" i="152"/>
  <c r="B10" i="152"/>
  <c r="C9" i="152"/>
  <c r="B9" i="152"/>
  <c r="C8" i="152"/>
  <c r="B8" i="152"/>
  <c r="C7" i="152"/>
  <c r="B7" i="152"/>
  <c r="C6" i="152"/>
  <c r="B6" i="152"/>
  <c r="C5" i="152"/>
  <c r="B5" i="152"/>
  <c r="C4" i="152"/>
  <c r="B4" i="152"/>
  <c r="C3" i="152"/>
  <c r="B3" i="152"/>
  <c r="C2" i="152"/>
  <c r="B2" i="152"/>
  <c r="A3" i="151"/>
  <c r="A4" i="151"/>
  <c r="A2" i="151"/>
  <c r="G4" i="151"/>
  <c r="F4" i="151"/>
  <c r="E4" i="151"/>
  <c r="B4" i="151"/>
  <c r="G3" i="151"/>
  <c r="F3" i="151"/>
  <c r="E3" i="151"/>
  <c r="B3" i="151"/>
  <c r="G2" i="151"/>
  <c r="F2" i="151"/>
  <c r="E2" i="151"/>
  <c r="B2" i="151"/>
  <c r="D9" i="428"/>
  <c r="C9" i="428"/>
  <c r="B9" i="428"/>
  <c r="C3" i="150"/>
  <c r="B3" i="150"/>
  <c r="C2" i="150"/>
  <c r="B2" i="150"/>
  <c r="J4" i="430"/>
  <c r="I4" i="430"/>
  <c r="H4" i="430"/>
  <c r="G4" i="430"/>
  <c r="F4" i="430"/>
  <c r="E4" i="430"/>
  <c r="D4" i="430"/>
  <c r="C4" i="430"/>
  <c r="B4" i="430"/>
  <c r="K3" i="430"/>
  <c r="K2" i="430"/>
  <c r="L4" i="143"/>
  <c r="J4" i="143"/>
  <c r="I4" i="143"/>
  <c r="H4" i="143"/>
  <c r="G4" i="143"/>
  <c r="F4" i="143"/>
  <c r="E4" i="143"/>
  <c r="D4" i="143"/>
  <c r="C4" i="143"/>
  <c r="B4" i="143"/>
  <c r="K3" i="143"/>
  <c r="K2" i="143"/>
  <c r="G6" i="431"/>
  <c r="F6" i="431"/>
  <c r="E6" i="431"/>
  <c r="D6" i="431"/>
  <c r="C6" i="431"/>
  <c r="B6" i="431"/>
  <c r="D6" i="142"/>
  <c r="C6" i="142"/>
  <c r="B6" i="142"/>
  <c r="D4" i="142"/>
  <c r="C4" i="142"/>
  <c r="B4" i="142"/>
  <c r="D3" i="142"/>
  <c r="C3" i="142"/>
  <c r="B3" i="142"/>
  <c r="D2" i="142"/>
  <c r="C2" i="142"/>
  <c r="B2" i="142"/>
  <c r="C4" i="140"/>
  <c r="B4" i="140"/>
  <c r="C3" i="140"/>
  <c r="B3" i="140"/>
  <c r="C2" i="140"/>
  <c r="B2" i="140"/>
  <c r="D12" i="489"/>
  <c r="C12" i="489"/>
  <c r="B12" i="489"/>
  <c r="D11" i="489"/>
  <c r="C11" i="489"/>
  <c r="B11" i="489"/>
  <c r="D10" i="489"/>
  <c r="C10" i="489"/>
  <c r="B10" i="489"/>
  <c r="D9" i="489"/>
  <c r="C9" i="489"/>
  <c r="B9" i="489"/>
  <c r="D8" i="489"/>
  <c r="C8" i="489"/>
  <c r="B8" i="489"/>
  <c r="D7" i="489"/>
  <c r="C7" i="489"/>
  <c r="B7" i="489"/>
  <c r="D6" i="489"/>
  <c r="C6" i="489"/>
  <c r="B6" i="489"/>
  <c r="D5" i="489"/>
  <c r="C5" i="489"/>
  <c r="B5" i="489"/>
  <c r="D4" i="489"/>
  <c r="C4" i="489"/>
  <c r="B4" i="489"/>
  <c r="D3" i="489"/>
  <c r="C3" i="489"/>
  <c r="B3" i="489"/>
  <c r="D2" i="489"/>
  <c r="C2" i="489"/>
  <c r="B2" i="489"/>
  <c r="F6" i="138"/>
  <c r="E6" i="138"/>
  <c r="C6" i="138"/>
  <c r="B6" i="138"/>
  <c r="F5" i="138"/>
  <c r="E5" i="138"/>
  <c r="C5" i="138"/>
  <c r="B5" i="138"/>
  <c r="F4" i="138"/>
  <c r="E4" i="138"/>
  <c r="C4" i="138"/>
  <c r="B4" i="138"/>
  <c r="F3" i="138"/>
  <c r="E3" i="138"/>
  <c r="C3" i="138"/>
  <c r="B3" i="138"/>
  <c r="F2" i="138"/>
  <c r="E2" i="138"/>
  <c r="C2" i="138"/>
  <c r="B2" i="138"/>
  <c r="F4" i="134"/>
  <c r="E4" i="134"/>
  <c r="C4" i="134"/>
  <c r="B4" i="134"/>
  <c r="G3" i="134"/>
  <c r="G2" i="134"/>
  <c r="D3" i="134"/>
  <c r="D2" i="134"/>
  <c r="C4" i="133"/>
  <c r="B4" i="133"/>
  <c r="D12" i="450"/>
  <c r="C12" i="450"/>
  <c r="B12" i="450"/>
  <c r="D11" i="450"/>
  <c r="C11" i="450"/>
  <c r="B11" i="450"/>
  <c r="D10" i="450"/>
  <c r="C10" i="450"/>
  <c r="B10" i="450"/>
  <c r="D9" i="450"/>
  <c r="C9" i="450"/>
  <c r="B9" i="450"/>
  <c r="D8" i="450"/>
  <c r="C8" i="450"/>
  <c r="B8" i="450"/>
  <c r="D7" i="450"/>
  <c r="C7" i="450"/>
  <c r="B7" i="450"/>
  <c r="D6" i="450"/>
  <c r="C6" i="450"/>
  <c r="B6" i="450"/>
  <c r="D5" i="450"/>
  <c r="C5" i="450"/>
  <c r="B5" i="450"/>
  <c r="D4" i="450"/>
  <c r="C4" i="450"/>
  <c r="B4" i="450"/>
  <c r="D3" i="450"/>
  <c r="C3" i="450"/>
  <c r="B3" i="450"/>
  <c r="D2" i="450"/>
  <c r="C2" i="450"/>
  <c r="B2" i="450"/>
  <c r="G5" i="131"/>
  <c r="E5" i="131"/>
  <c r="D5" i="131"/>
  <c r="C5" i="131"/>
  <c r="B5" i="131"/>
  <c r="G4" i="131"/>
  <c r="E4" i="131"/>
  <c r="D4" i="131"/>
  <c r="C4" i="131"/>
  <c r="B4" i="131"/>
  <c r="G3" i="131"/>
  <c r="E3" i="131"/>
  <c r="D3" i="131"/>
  <c r="C3" i="131"/>
  <c r="B3" i="131"/>
  <c r="G2" i="131"/>
  <c r="E2" i="131"/>
  <c r="D2" i="131"/>
  <c r="C2" i="131"/>
  <c r="B2" i="131"/>
  <c r="G5" i="130"/>
  <c r="E5" i="130"/>
  <c r="D5" i="130"/>
  <c r="C5" i="130"/>
  <c r="B5" i="130"/>
  <c r="G4" i="130"/>
  <c r="E4" i="130"/>
  <c r="D4" i="130"/>
  <c r="C4" i="130"/>
  <c r="B4" i="130"/>
  <c r="G3" i="130"/>
  <c r="E3" i="130"/>
  <c r="D3" i="130"/>
  <c r="C3" i="130"/>
  <c r="B3" i="130"/>
  <c r="G2" i="130"/>
  <c r="E2" i="130"/>
  <c r="D2" i="130"/>
  <c r="C2" i="130"/>
  <c r="B2" i="130"/>
  <c r="C5" i="129"/>
  <c r="B5" i="129"/>
  <c r="B5" i="128"/>
  <c r="E5" i="128" s="1"/>
  <c r="B4" i="128"/>
  <c r="E4" i="128" s="1"/>
  <c r="B3" i="128"/>
  <c r="B2" i="128"/>
  <c r="C3" i="128"/>
  <c r="C2" i="128"/>
  <c r="G6" i="127"/>
  <c r="G5" i="127"/>
  <c r="G4" i="127"/>
  <c r="G2" i="127"/>
  <c r="D6" i="127"/>
  <c r="F3" i="127"/>
  <c r="F7" i="127" s="1"/>
  <c r="E3" i="127"/>
  <c r="C5" i="127"/>
  <c r="B5" i="127"/>
  <c r="C4" i="127"/>
  <c r="B4" i="127"/>
  <c r="E5" i="126"/>
  <c r="D5" i="126"/>
  <c r="C5" i="126"/>
  <c r="B5" i="126"/>
  <c r="D12" i="125"/>
  <c r="C12" i="125"/>
  <c r="B12" i="125"/>
  <c r="D11" i="125"/>
  <c r="C11" i="125"/>
  <c r="B11" i="125"/>
  <c r="D10" i="125"/>
  <c r="C10" i="125"/>
  <c r="B10" i="125"/>
  <c r="D9" i="125"/>
  <c r="C9" i="125"/>
  <c r="B9" i="125"/>
  <c r="D8" i="125"/>
  <c r="C8" i="125"/>
  <c r="B8" i="125"/>
  <c r="D7" i="125"/>
  <c r="C7" i="125"/>
  <c r="B7" i="125"/>
  <c r="D6" i="125"/>
  <c r="C6" i="125"/>
  <c r="B6" i="125"/>
  <c r="D5" i="125"/>
  <c r="C5" i="125"/>
  <c r="B5" i="125"/>
  <c r="D4" i="125"/>
  <c r="C4" i="125"/>
  <c r="B4" i="125"/>
  <c r="D3" i="125"/>
  <c r="C3" i="125"/>
  <c r="B3" i="125"/>
  <c r="D2" i="125"/>
  <c r="C2" i="125"/>
  <c r="B2" i="125"/>
  <c r="F3" i="445"/>
  <c r="E3" i="445"/>
  <c r="C3" i="445"/>
  <c r="B3" i="445"/>
  <c r="F2" i="445"/>
  <c r="E2" i="445"/>
  <c r="C2" i="445"/>
  <c r="B2" i="445"/>
  <c r="C8" i="120"/>
  <c r="B8" i="120"/>
  <c r="C7" i="120"/>
  <c r="B7" i="120"/>
  <c r="C6" i="120"/>
  <c r="B6" i="120"/>
  <c r="C5" i="120"/>
  <c r="B5" i="120"/>
  <c r="C4" i="120"/>
  <c r="B4" i="120"/>
  <c r="C3" i="120"/>
  <c r="B3" i="120"/>
  <c r="C2" i="120"/>
  <c r="B2" i="120"/>
  <c r="C7" i="119"/>
  <c r="B7" i="119"/>
  <c r="C6" i="119"/>
  <c r="B6" i="119"/>
  <c r="C5" i="119"/>
  <c r="B5" i="119"/>
  <c r="C4" i="119"/>
  <c r="B4" i="119"/>
  <c r="C3" i="119"/>
  <c r="B3" i="119"/>
  <c r="C2" i="119"/>
  <c r="B2" i="119"/>
  <c r="C5" i="113"/>
  <c r="B5" i="113"/>
  <c r="C4" i="113"/>
  <c r="B4" i="113"/>
  <c r="C3" i="113"/>
  <c r="B3" i="113"/>
  <c r="C2" i="113"/>
  <c r="B2" i="113"/>
  <c r="C5" i="112"/>
  <c r="B5" i="112"/>
  <c r="B5" i="114"/>
  <c r="B4" i="114"/>
  <c r="B3" i="114"/>
  <c r="F4" i="111"/>
  <c r="E4" i="111"/>
  <c r="B2" i="114" s="1"/>
  <c r="G3" i="111"/>
  <c r="G2" i="111"/>
  <c r="C3" i="111"/>
  <c r="B3" i="111"/>
  <c r="C2" i="111"/>
  <c r="B2" i="111"/>
  <c r="E3" i="110"/>
  <c r="E4" i="110" s="1"/>
  <c r="F18" i="106"/>
  <c r="D18" i="106"/>
  <c r="E17" i="106"/>
  <c r="E16" i="106"/>
  <c r="E15" i="106"/>
  <c r="E14" i="106"/>
  <c r="E13" i="106"/>
  <c r="E12" i="106"/>
  <c r="E11" i="106"/>
  <c r="E10" i="106"/>
  <c r="E9" i="106"/>
  <c r="E8" i="106"/>
  <c r="E7" i="106"/>
  <c r="E6" i="106"/>
  <c r="E5" i="106"/>
  <c r="E4" i="106"/>
  <c r="E3" i="106"/>
  <c r="E2" i="106"/>
  <c r="C17" i="106"/>
  <c r="B17" i="106"/>
  <c r="C16" i="106"/>
  <c r="B16" i="106"/>
  <c r="C15" i="106"/>
  <c r="B15" i="106"/>
  <c r="C14" i="106"/>
  <c r="B14" i="106"/>
  <c r="C13" i="106"/>
  <c r="B13" i="106"/>
  <c r="C12" i="106"/>
  <c r="B12" i="106"/>
  <c r="C11" i="106"/>
  <c r="B11" i="106"/>
  <c r="C10" i="106"/>
  <c r="B10" i="106"/>
  <c r="C9" i="106"/>
  <c r="B9" i="106"/>
  <c r="C8" i="106"/>
  <c r="B8" i="106"/>
  <c r="C7" i="106"/>
  <c r="B7" i="106"/>
  <c r="C6" i="106"/>
  <c r="B6" i="106"/>
  <c r="C5" i="106"/>
  <c r="B5" i="106"/>
  <c r="C4" i="106"/>
  <c r="B4" i="106"/>
  <c r="C3" i="106"/>
  <c r="B3" i="106"/>
  <c r="C2" i="106"/>
  <c r="B2" i="106"/>
  <c r="E4" i="122"/>
  <c r="D4" i="122"/>
  <c r="C4" i="122"/>
  <c r="B4" i="122"/>
  <c r="F3" i="122"/>
  <c r="F2" i="122"/>
  <c r="F12" i="96"/>
  <c r="E12" i="96"/>
  <c r="G11" i="96"/>
  <c r="G10" i="96"/>
  <c r="G9" i="96"/>
  <c r="G8" i="96"/>
  <c r="G7" i="96"/>
  <c r="G6" i="96"/>
  <c r="G5" i="96"/>
  <c r="G4" i="96"/>
  <c r="G3" i="96"/>
  <c r="G2" i="96"/>
  <c r="C11" i="96"/>
  <c r="B11" i="96"/>
  <c r="C10" i="96"/>
  <c r="B10" i="96"/>
  <c r="C9" i="96"/>
  <c r="B9" i="96"/>
  <c r="C8" i="96"/>
  <c r="B8" i="96"/>
  <c r="C7" i="96"/>
  <c r="B7" i="96"/>
  <c r="C6" i="96"/>
  <c r="B6" i="96"/>
  <c r="C5" i="96"/>
  <c r="B5" i="96"/>
  <c r="C4" i="96"/>
  <c r="B4" i="96"/>
  <c r="C3" i="96"/>
  <c r="B3" i="96"/>
  <c r="C2" i="96"/>
  <c r="B2" i="96"/>
  <c r="B9" i="95"/>
  <c r="B5" i="95"/>
  <c r="C6" i="94"/>
  <c r="B6" i="94"/>
  <c r="C5" i="103"/>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8" i="102"/>
  <c r="B7" i="102"/>
  <c r="B6" i="102"/>
  <c r="B5" i="102"/>
  <c r="B4" i="102"/>
  <c r="B3" i="102"/>
  <c r="B2" i="102"/>
  <c r="C8" i="92"/>
  <c r="C4" i="91"/>
  <c r="B4" i="91"/>
  <c r="D12" i="454"/>
  <c r="C12" i="454"/>
  <c r="B12" i="454"/>
  <c r="D11" i="454"/>
  <c r="C11" i="454"/>
  <c r="B11" i="454"/>
  <c r="D10" i="454"/>
  <c r="C10" i="454"/>
  <c r="B10" i="454"/>
  <c r="D9" i="454"/>
  <c r="C9" i="454"/>
  <c r="B9" i="454"/>
  <c r="D8" i="454"/>
  <c r="C8" i="454"/>
  <c r="B8" i="454"/>
  <c r="D7" i="454"/>
  <c r="C7" i="454"/>
  <c r="B7" i="454"/>
  <c r="D6" i="454"/>
  <c r="C6" i="454"/>
  <c r="B6" i="454"/>
  <c r="D5" i="454"/>
  <c r="C5" i="454"/>
  <c r="B5" i="454"/>
  <c r="D4" i="454"/>
  <c r="C4" i="454"/>
  <c r="B4" i="454"/>
  <c r="D3" i="454"/>
  <c r="C3" i="454"/>
  <c r="B3" i="454"/>
  <c r="D2" i="454"/>
  <c r="C2" i="454"/>
  <c r="B2" i="454"/>
  <c r="B7" i="83"/>
  <c r="C6" i="82"/>
  <c r="C2" i="80" s="1"/>
  <c r="B5" i="82"/>
  <c r="B4" i="82"/>
  <c r="B3" i="82"/>
  <c r="B2" i="82"/>
  <c r="C8" i="78"/>
  <c r="H6" i="77"/>
  <c r="F6" i="77"/>
  <c r="B5" i="77"/>
  <c r="B4" i="77"/>
  <c r="B3" i="77"/>
  <c r="B2" i="77"/>
  <c r="I5" i="77"/>
  <c r="I4" i="77"/>
  <c r="I3" i="77"/>
  <c r="I2" i="77"/>
  <c r="D5" i="77"/>
  <c r="E5" i="77" s="1"/>
  <c r="D4" i="77"/>
  <c r="E4" i="77" s="1"/>
  <c r="D3" i="77"/>
  <c r="D2" i="77"/>
  <c r="C3" i="76"/>
  <c r="B3" i="76"/>
  <c r="C2" i="76"/>
  <c r="B2" i="76"/>
  <c r="C4" i="75"/>
  <c r="B3" i="75"/>
  <c r="B2" i="75"/>
  <c r="G4" i="74"/>
  <c r="D4" i="74"/>
  <c r="F3" i="74"/>
  <c r="E3" i="74"/>
  <c r="F2" i="74"/>
  <c r="E2" i="74"/>
  <c r="C3" i="74"/>
  <c r="B3" i="74"/>
  <c r="C2" i="74"/>
  <c r="B2" i="74"/>
  <c r="C4" i="67"/>
  <c r="B4" i="67"/>
  <c r="C2" i="67"/>
  <c r="B2" i="67"/>
  <c r="C6" i="65"/>
  <c r="B6" i="65"/>
  <c r="C6" i="63"/>
  <c r="C4" i="62"/>
  <c r="B4" i="62"/>
  <c r="C9" i="58"/>
  <c r="B9" i="58"/>
  <c r="F3" i="55"/>
  <c r="F2" i="55"/>
  <c r="D4" i="55"/>
  <c r="B4" i="55"/>
  <c r="G4" i="49"/>
  <c r="D4" i="49"/>
  <c r="F3" i="49"/>
  <c r="E3" i="49"/>
  <c r="C3" i="49"/>
  <c r="B3" i="49"/>
  <c r="F2" i="49"/>
  <c r="E2" i="49"/>
  <c r="C2" i="49"/>
  <c r="B2" i="49"/>
  <c r="C3" i="48"/>
  <c r="B3" i="48"/>
  <c r="C2" i="48"/>
  <c r="B2" i="48"/>
  <c r="C5" i="47"/>
  <c r="B5" i="47"/>
  <c r="C2" i="47"/>
  <c r="B2" i="47"/>
  <c r="D3" i="47"/>
  <c r="D4" i="47"/>
  <c r="D6" i="47"/>
  <c r="D7" i="47"/>
  <c r="B3" i="45"/>
  <c r="B2" i="45"/>
  <c r="C3" i="44"/>
  <c r="B3" i="44"/>
  <c r="C2" i="44"/>
  <c r="B2" i="44"/>
  <c r="B3" i="43"/>
  <c r="B2" i="43"/>
  <c r="F4" i="46"/>
  <c r="E4" i="46"/>
  <c r="G3" i="46"/>
  <c r="C3" i="46"/>
  <c r="B3" i="46"/>
  <c r="G2" i="46"/>
  <c r="C2" i="46"/>
  <c r="B2" i="46"/>
  <c r="C9" i="41"/>
  <c r="B9" i="41"/>
  <c r="C8" i="41"/>
  <c r="B8" i="41"/>
  <c r="C7" i="41"/>
  <c r="B7" i="41"/>
  <c r="C6" i="41"/>
  <c r="B6" i="41"/>
  <c r="C5" i="41"/>
  <c r="B5" i="41"/>
  <c r="C4" i="41"/>
  <c r="B4" i="41"/>
  <c r="C3" i="41"/>
  <c r="B3" i="41"/>
  <c r="C2" i="41"/>
  <c r="B2" i="41"/>
  <c r="C7" i="40"/>
  <c r="B7" i="40"/>
  <c r="C6" i="40"/>
  <c r="B6" i="40"/>
  <c r="C5" i="40"/>
  <c r="B5" i="40"/>
  <c r="C4" i="40"/>
  <c r="B4" i="40"/>
  <c r="C3" i="40"/>
  <c r="B3" i="40"/>
  <c r="C2" i="40"/>
  <c r="B2" i="40"/>
  <c r="C9" i="39"/>
  <c r="B9" i="39"/>
  <c r="C8" i="39"/>
  <c r="B8" i="39"/>
  <c r="C7" i="39"/>
  <c r="B7" i="39"/>
  <c r="C6" i="39"/>
  <c r="B6" i="39"/>
  <c r="C5" i="39"/>
  <c r="B5" i="39"/>
  <c r="C4" i="39"/>
  <c r="B4" i="39"/>
  <c r="C3" i="39"/>
  <c r="B3" i="39"/>
  <c r="C2" i="39"/>
  <c r="B2" i="39"/>
  <c r="C8" i="38"/>
  <c r="B8" i="38"/>
  <c r="C7" i="38"/>
  <c r="B7" i="38"/>
  <c r="C6" i="38"/>
  <c r="B6" i="38"/>
  <c r="C5" i="38"/>
  <c r="B5" i="38"/>
  <c r="C4" i="38"/>
  <c r="B4" i="38"/>
  <c r="C3" i="38"/>
  <c r="B3" i="38"/>
  <c r="C2" i="38"/>
  <c r="B2" i="38"/>
  <c r="C5" i="37"/>
  <c r="B4" i="37"/>
  <c r="B3" i="37"/>
  <c r="B2" i="37"/>
  <c r="B208" i="273"/>
  <c r="B204" i="273"/>
  <c r="C48" i="282"/>
  <c r="B48" i="282"/>
  <c r="C38" i="282"/>
  <c r="B38" i="282"/>
  <c r="C29" i="282"/>
  <c r="B29" i="282"/>
  <c r="C28" i="282"/>
  <c r="B28" i="282"/>
  <c r="C24" i="282"/>
  <c r="B24" i="282"/>
  <c r="E252" i="432"/>
  <c r="E251" i="432"/>
  <c r="E250" i="432"/>
  <c r="E249" i="432"/>
  <c r="E247" i="432"/>
  <c r="E246" i="432"/>
  <c r="E245" i="432"/>
  <c r="E244" i="432"/>
  <c r="E243" i="432"/>
  <c r="E242" i="432"/>
  <c r="E239" i="432"/>
  <c r="E237" i="432"/>
  <c r="E236" i="432"/>
  <c r="E235" i="432"/>
  <c r="E231" i="432"/>
  <c r="E230" i="432"/>
  <c r="E229" i="432"/>
  <c r="E228" i="432"/>
  <c r="E227" i="432"/>
  <c r="E226" i="432"/>
  <c r="E225" i="432"/>
  <c r="E224" i="432"/>
  <c r="E223" i="432"/>
  <c r="E222" i="432"/>
  <c r="E220" i="432"/>
  <c r="E219" i="432"/>
  <c r="E218" i="432"/>
  <c r="E217" i="432"/>
  <c r="E216" i="432"/>
  <c r="E212" i="432"/>
  <c r="E210" i="432"/>
  <c r="E209" i="432"/>
  <c r="E208" i="432"/>
  <c r="E207" i="432"/>
  <c r="E200" i="432"/>
  <c r="E197" i="432"/>
  <c r="E196" i="432"/>
  <c r="E195" i="432"/>
  <c r="E194" i="432"/>
  <c r="E193" i="432"/>
  <c r="E189" i="432"/>
  <c r="E187" i="432"/>
  <c r="E185" i="432"/>
  <c r="E184" i="432"/>
  <c r="E183" i="432"/>
  <c r="E182" i="432"/>
  <c r="E181" i="432"/>
  <c r="E180" i="432"/>
  <c r="E179" i="432"/>
  <c r="E174" i="432"/>
  <c r="E173" i="432"/>
  <c r="E172" i="432"/>
  <c r="E165" i="432"/>
  <c r="E162" i="432"/>
  <c r="E160" i="432"/>
  <c r="E158" i="432"/>
  <c r="E156" i="432"/>
  <c r="E155" i="432"/>
  <c r="E154" i="432"/>
  <c r="E152" i="432"/>
  <c r="E140" i="432"/>
  <c r="E139" i="432"/>
  <c r="E138" i="432"/>
  <c r="E135" i="432"/>
  <c r="E134" i="432"/>
  <c r="E107" i="432"/>
  <c r="E58" i="432"/>
  <c r="L9" i="164"/>
  <c r="L8" i="164"/>
  <c r="L7" i="164"/>
  <c r="L6" i="164"/>
  <c r="L5" i="164"/>
  <c r="L4" i="164"/>
  <c r="L3" i="164"/>
  <c r="L2" i="164"/>
  <c r="B6" i="79"/>
  <c r="B5" i="79"/>
  <c r="A5" i="79" s="1"/>
  <c r="D5" i="79" s="1"/>
  <c r="B4" i="79"/>
  <c r="B3" i="79"/>
  <c r="A3" i="79" s="1"/>
  <c r="D3" i="79" s="1"/>
  <c r="B2" i="79"/>
  <c r="K370" i="502"/>
  <c r="B43" i="391"/>
  <c r="B42" i="391"/>
  <c r="B29" i="391"/>
  <c r="B28" i="391"/>
  <c r="B5" i="391"/>
  <c r="B4" i="391"/>
  <c r="B21" i="391"/>
  <c r="K361" i="502"/>
  <c r="K350" i="502"/>
  <c r="K349" i="502"/>
  <c r="K348" i="502"/>
  <c r="K336" i="502"/>
  <c r="K335" i="502"/>
  <c r="K334" i="502"/>
  <c r="K314" i="502"/>
  <c r="K302" i="502"/>
  <c r="K293" i="502"/>
  <c r="K292" i="502"/>
  <c r="K284" i="502"/>
  <c r="K276" i="502"/>
  <c r="K271" i="502"/>
  <c r="K257" i="502"/>
  <c r="K249" i="502"/>
  <c r="K248" i="502"/>
  <c r="K209" i="502"/>
  <c r="K198" i="502"/>
  <c r="K113" i="502"/>
  <c r="K112" i="502"/>
  <c r="K93" i="502"/>
  <c r="K73" i="502"/>
  <c r="K49" i="502"/>
  <c r="K10" i="502"/>
  <c r="J386" i="502"/>
  <c r="I386" i="502"/>
  <c r="H386" i="502"/>
  <c r="G386" i="502"/>
  <c r="F386" i="502"/>
  <c r="E386" i="502"/>
  <c r="D386" i="502"/>
  <c r="D385" i="502"/>
  <c r="D384" i="502"/>
  <c r="D383" i="502"/>
  <c r="D382" i="502"/>
  <c r="D381" i="502"/>
  <c r="J380" i="502"/>
  <c r="I380" i="502"/>
  <c r="H380" i="502"/>
  <c r="G380" i="502"/>
  <c r="F380" i="502"/>
  <c r="E380" i="502"/>
  <c r="D380" i="502"/>
  <c r="D379" i="502"/>
  <c r="D378" i="502"/>
  <c r="D377" i="502"/>
  <c r="D376" i="502"/>
  <c r="D375" i="502"/>
  <c r="D374" i="502"/>
  <c r="K373" i="502"/>
  <c r="B54" i="283" s="1"/>
  <c r="J373" i="502"/>
  <c r="I373" i="502"/>
  <c r="H373" i="502"/>
  <c r="G373" i="502"/>
  <c r="F373" i="502"/>
  <c r="E373" i="502"/>
  <c r="D373" i="502"/>
  <c r="D372" i="502"/>
  <c r="D371" i="502"/>
  <c r="D370" i="502"/>
  <c r="D369" i="502"/>
  <c r="D368" i="502"/>
  <c r="D367" i="502"/>
  <c r="D366" i="502"/>
  <c r="J365" i="502"/>
  <c r="I365" i="502"/>
  <c r="H365" i="502"/>
  <c r="G365" i="502"/>
  <c r="F365" i="502"/>
  <c r="E365" i="502"/>
  <c r="D365" i="502"/>
  <c r="D364" i="502"/>
  <c r="D363" i="502"/>
  <c r="D362" i="502"/>
  <c r="D361" i="502"/>
  <c r="D360" i="502"/>
  <c r="D359" i="502"/>
  <c r="D358" i="502"/>
  <c r="J357" i="502"/>
  <c r="I357" i="502"/>
  <c r="H357" i="502"/>
  <c r="G357" i="502"/>
  <c r="F357" i="502"/>
  <c r="E357" i="502"/>
  <c r="D357" i="502"/>
  <c r="D356" i="502"/>
  <c r="D355" i="502"/>
  <c r="D354" i="502"/>
  <c r="D353" i="502"/>
  <c r="D352" i="502"/>
  <c r="D351" i="502"/>
  <c r="D350" i="502"/>
  <c r="D349" i="502"/>
  <c r="K357" i="502"/>
  <c r="B51" i="283" s="1"/>
  <c r="D348" i="502"/>
  <c r="D347" i="502"/>
  <c r="K346" i="502"/>
  <c r="B49" i="283" s="1"/>
  <c r="J346" i="502"/>
  <c r="I346" i="502"/>
  <c r="H346" i="502"/>
  <c r="G346" i="502"/>
  <c r="F346" i="502"/>
  <c r="E346" i="502"/>
  <c r="D346" i="502"/>
  <c r="D345" i="502"/>
  <c r="D344" i="502"/>
  <c r="D343" i="502"/>
  <c r="D342" i="502"/>
  <c r="D341" i="502"/>
  <c r="J340" i="502"/>
  <c r="I340" i="502"/>
  <c r="H340" i="502"/>
  <c r="G340" i="502"/>
  <c r="F340" i="502"/>
  <c r="E340" i="502"/>
  <c r="D340" i="502"/>
  <c r="D339" i="502"/>
  <c r="D338" i="502"/>
  <c r="D337" i="502"/>
  <c r="D336" i="502"/>
  <c r="D335" i="502"/>
  <c r="K340" i="502"/>
  <c r="B47" i="283" s="1"/>
  <c r="D334" i="502"/>
  <c r="D333" i="502"/>
  <c r="J332" i="502"/>
  <c r="I332" i="502"/>
  <c r="H332" i="502"/>
  <c r="G332" i="502"/>
  <c r="F332" i="502"/>
  <c r="E332" i="502"/>
  <c r="D332" i="502"/>
  <c r="D331" i="502"/>
  <c r="D329" i="502"/>
  <c r="D328" i="502"/>
  <c r="D327" i="502"/>
  <c r="D326" i="502"/>
  <c r="K325" i="502"/>
  <c r="B41" i="283" s="1"/>
  <c r="J325" i="502"/>
  <c r="I325" i="502"/>
  <c r="H325" i="502"/>
  <c r="G325" i="502"/>
  <c r="F325" i="502"/>
  <c r="E325" i="502"/>
  <c r="D325" i="502"/>
  <c r="D324" i="502"/>
  <c r="D323" i="502"/>
  <c r="D322" i="502"/>
  <c r="D321" i="502"/>
  <c r="D320" i="502"/>
  <c r="D319" i="502"/>
  <c r="D318" i="502"/>
  <c r="K317" i="502"/>
  <c r="B40" i="283" s="1"/>
  <c r="J317" i="502"/>
  <c r="I317" i="502"/>
  <c r="H317" i="502"/>
  <c r="G317" i="502"/>
  <c r="F317" i="502"/>
  <c r="E317" i="502"/>
  <c r="D317" i="502"/>
  <c r="D316" i="502"/>
  <c r="D315" i="502"/>
  <c r="D314" i="502"/>
  <c r="D313" i="502"/>
  <c r="D312" i="502"/>
  <c r="J311" i="502"/>
  <c r="I311" i="502"/>
  <c r="H311" i="502"/>
  <c r="G311" i="502"/>
  <c r="F311" i="502"/>
  <c r="E311" i="502"/>
  <c r="D311" i="502"/>
  <c r="D310" i="502"/>
  <c r="D309" i="502"/>
  <c r="D308" i="502"/>
  <c r="D307" i="502"/>
  <c r="D306" i="502"/>
  <c r="D305" i="502"/>
  <c r="D304" i="502"/>
  <c r="D303" i="502"/>
  <c r="K311" i="502"/>
  <c r="B38" i="283" s="1"/>
  <c r="D302" i="502"/>
  <c r="D301" i="502"/>
  <c r="D300" i="502"/>
  <c r="D299" i="502"/>
  <c r="D298" i="502"/>
  <c r="D297" i="502"/>
  <c r="J296" i="502"/>
  <c r="I296" i="502"/>
  <c r="H296" i="502"/>
  <c r="G296" i="502"/>
  <c r="F296" i="502"/>
  <c r="E296" i="502"/>
  <c r="D296" i="502"/>
  <c r="D295" i="502"/>
  <c r="D294" i="502"/>
  <c r="D293" i="502"/>
  <c r="D292" i="502"/>
  <c r="D291" i="502"/>
  <c r="D290" i="502"/>
  <c r="D289" i="502"/>
  <c r="K288" i="502"/>
  <c r="D288" i="502"/>
  <c r="K287" i="502"/>
  <c r="D287" i="502"/>
  <c r="K286" i="502"/>
  <c r="D286" i="502"/>
  <c r="K285" i="502"/>
  <c r="D285" i="502"/>
  <c r="D284" i="502"/>
  <c r="D283" i="502"/>
  <c r="D282" i="502"/>
  <c r="D281" i="502"/>
  <c r="D280" i="502"/>
  <c r="D279" i="502"/>
  <c r="D278" i="502"/>
  <c r="D277" i="502"/>
  <c r="D276" i="502"/>
  <c r="D275" i="502"/>
  <c r="D274" i="502"/>
  <c r="K273" i="502"/>
  <c r="B35" i="283" s="1"/>
  <c r="J273" i="502"/>
  <c r="I273" i="502"/>
  <c r="H273" i="502"/>
  <c r="G273" i="502"/>
  <c r="F273" i="502"/>
  <c r="E273" i="502"/>
  <c r="D273" i="502"/>
  <c r="D272" i="502"/>
  <c r="D271" i="502"/>
  <c r="D270" i="502"/>
  <c r="D269" i="502"/>
  <c r="D268" i="502"/>
  <c r="D267" i="502"/>
  <c r="K266" i="502"/>
  <c r="B34" i="283" s="1"/>
  <c r="J266" i="502"/>
  <c r="I266" i="502"/>
  <c r="H266" i="502"/>
  <c r="G266" i="502"/>
  <c r="F266" i="502"/>
  <c r="E266" i="502"/>
  <c r="D266" i="502"/>
  <c r="D265" i="502"/>
  <c r="D264" i="502"/>
  <c r="D263" i="502"/>
  <c r="D262" i="502"/>
  <c r="D261" i="502"/>
  <c r="D260" i="502"/>
  <c r="J259" i="502"/>
  <c r="I259" i="502"/>
  <c r="H259" i="502"/>
  <c r="G259" i="502"/>
  <c r="F259" i="502"/>
  <c r="E259" i="502"/>
  <c r="D259" i="502"/>
  <c r="D258" i="502"/>
  <c r="D257" i="502"/>
  <c r="D256" i="502"/>
  <c r="D255" i="502"/>
  <c r="D254" i="502"/>
  <c r="D253" i="502"/>
  <c r="D252" i="502"/>
  <c r="D251" i="502"/>
  <c r="D250" i="502"/>
  <c r="D249" i="502"/>
  <c r="D248" i="502"/>
  <c r="D247" i="502"/>
  <c r="D246" i="502"/>
  <c r="D245" i="502"/>
  <c r="K244" i="502"/>
  <c r="B32" i="283" s="1"/>
  <c r="J244" i="502"/>
  <c r="I244" i="502"/>
  <c r="H244" i="502"/>
  <c r="G244" i="502"/>
  <c r="F244" i="502"/>
  <c r="E244" i="502"/>
  <c r="D244" i="502"/>
  <c r="D243" i="502"/>
  <c r="D242" i="502"/>
  <c r="D241" i="502"/>
  <c r="D240" i="502"/>
  <c r="D239" i="502"/>
  <c r="K238" i="502"/>
  <c r="B31" i="283" s="1"/>
  <c r="J238" i="502"/>
  <c r="I238" i="502"/>
  <c r="H238" i="502"/>
  <c r="G238" i="502"/>
  <c r="F238" i="502"/>
  <c r="E238" i="502"/>
  <c r="D238" i="502"/>
  <c r="D237" i="502"/>
  <c r="D236" i="502"/>
  <c r="D235" i="502"/>
  <c r="D234" i="502"/>
  <c r="D233" i="502"/>
  <c r="D232" i="502"/>
  <c r="D231" i="502"/>
  <c r="D230" i="502"/>
  <c r="D229" i="502"/>
  <c r="J228" i="502"/>
  <c r="I228" i="502"/>
  <c r="H228" i="502"/>
  <c r="G228" i="502"/>
  <c r="F228" i="502"/>
  <c r="E228" i="502"/>
  <c r="D228" i="502"/>
  <c r="D227" i="502"/>
  <c r="D226" i="502"/>
  <c r="D225" i="502"/>
  <c r="D224" i="502"/>
  <c r="D221" i="502"/>
  <c r="D220" i="502"/>
  <c r="D219" i="502"/>
  <c r="D218" i="502"/>
  <c r="D217" i="502"/>
  <c r="D216" i="502"/>
  <c r="D215" i="502"/>
  <c r="D214" i="502"/>
  <c r="D213" i="502"/>
  <c r="D212" i="502"/>
  <c r="D211" i="502"/>
  <c r="D210" i="502"/>
  <c r="D209" i="502"/>
  <c r="D208" i="502"/>
  <c r="D207" i="502"/>
  <c r="D206" i="502"/>
  <c r="D205" i="502"/>
  <c r="D204" i="502"/>
  <c r="D203" i="502"/>
  <c r="D202" i="502"/>
  <c r="D201" i="502"/>
  <c r="D200" i="502"/>
  <c r="D199" i="502"/>
  <c r="D198" i="502"/>
  <c r="D197" i="502"/>
  <c r="D196" i="502"/>
  <c r="D195" i="502"/>
  <c r="D194" i="502"/>
  <c r="D193" i="502"/>
  <c r="D192" i="502"/>
  <c r="D191" i="502"/>
  <c r="D190" i="502"/>
  <c r="D189" i="502"/>
  <c r="D188" i="502"/>
  <c r="D187" i="502"/>
  <c r="D186" i="502"/>
  <c r="D185" i="502"/>
  <c r="D184" i="502"/>
  <c r="D183" i="502"/>
  <c r="D182" i="502"/>
  <c r="D181" i="502"/>
  <c r="D180" i="502"/>
  <c r="D179" i="502"/>
  <c r="D178" i="502"/>
  <c r="D177" i="502"/>
  <c r="D176" i="502"/>
  <c r="D175" i="502"/>
  <c r="D174" i="502"/>
  <c r="D173" i="502"/>
  <c r="D172" i="502"/>
  <c r="J171" i="502"/>
  <c r="I171" i="502"/>
  <c r="H171" i="502"/>
  <c r="G171" i="502"/>
  <c r="F171" i="502"/>
  <c r="E171" i="502"/>
  <c r="D171" i="502"/>
  <c r="D170" i="502"/>
  <c r="D169" i="502"/>
  <c r="D168" i="502"/>
  <c r="D167" i="502"/>
  <c r="D166" i="502"/>
  <c r="D165" i="502"/>
  <c r="D164" i="502"/>
  <c r="D163" i="502"/>
  <c r="D162" i="502"/>
  <c r="D161" i="502"/>
  <c r="D160" i="502"/>
  <c r="D159" i="502"/>
  <c r="D158" i="502"/>
  <c r="D157" i="502"/>
  <c r="D156" i="502"/>
  <c r="D155" i="502"/>
  <c r="D154" i="502"/>
  <c r="D153" i="502"/>
  <c r="D152" i="502"/>
  <c r="J150" i="502"/>
  <c r="I150" i="502"/>
  <c r="H150" i="502"/>
  <c r="G150" i="502"/>
  <c r="F150" i="502"/>
  <c r="E150" i="502"/>
  <c r="D150" i="502"/>
  <c r="D149" i="502"/>
  <c r="D148" i="502"/>
  <c r="D147" i="502"/>
  <c r="D146" i="502"/>
  <c r="D145" i="502"/>
  <c r="D144" i="502"/>
  <c r="D142" i="502"/>
  <c r="D141" i="502"/>
  <c r="D140" i="502"/>
  <c r="D139" i="502"/>
  <c r="D138" i="502"/>
  <c r="D137" i="502"/>
  <c r="D136" i="502"/>
  <c r="D135" i="502"/>
  <c r="D134" i="502"/>
  <c r="D133" i="502"/>
  <c r="D132" i="502"/>
  <c r="D131" i="502"/>
  <c r="J130" i="502"/>
  <c r="I130" i="502"/>
  <c r="H130" i="502"/>
  <c r="G130" i="502"/>
  <c r="F130" i="502"/>
  <c r="E130" i="502"/>
  <c r="D130" i="502"/>
  <c r="D129" i="502"/>
  <c r="D128" i="502"/>
  <c r="D127" i="502"/>
  <c r="D126" i="502"/>
  <c r="D125" i="502"/>
  <c r="D124" i="502"/>
  <c r="D123" i="502"/>
  <c r="D122" i="502"/>
  <c r="D121" i="502"/>
  <c r="D120" i="502"/>
  <c r="D119" i="502"/>
  <c r="D118" i="502"/>
  <c r="D117" i="502"/>
  <c r="D116" i="502"/>
  <c r="D115" i="502"/>
  <c r="D114" i="502"/>
  <c r="D113" i="502"/>
  <c r="D112" i="502"/>
  <c r="D111" i="502"/>
  <c r="D110" i="502"/>
  <c r="D109" i="502"/>
  <c r="D108" i="502"/>
  <c r="D107" i="502"/>
  <c r="D106" i="502"/>
  <c r="D105" i="502"/>
  <c r="D104" i="502"/>
  <c r="D103" i="502"/>
  <c r="D102" i="502"/>
  <c r="D101" i="502"/>
  <c r="D100" i="502"/>
  <c r="D99" i="502"/>
  <c r="D98" i="502"/>
  <c r="D97" i="502"/>
  <c r="D96" i="502"/>
  <c r="D95" i="502"/>
  <c r="D94" i="502"/>
  <c r="D93" i="502"/>
  <c r="D92" i="502"/>
  <c r="D91" i="502"/>
  <c r="D90" i="502"/>
  <c r="K87" i="502"/>
  <c r="J87" i="502"/>
  <c r="I87" i="502"/>
  <c r="H87" i="502"/>
  <c r="G87" i="502"/>
  <c r="F87" i="502"/>
  <c r="E87" i="502"/>
  <c r="K86" i="502"/>
  <c r="J86" i="502"/>
  <c r="I86" i="502"/>
  <c r="H86" i="502"/>
  <c r="G86" i="502"/>
  <c r="F86" i="502"/>
  <c r="E86" i="502"/>
  <c r="K85" i="502"/>
  <c r="J85" i="502"/>
  <c r="I85" i="502"/>
  <c r="H85" i="502"/>
  <c r="G85" i="502"/>
  <c r="F85" i="502"/>
  <c r="E85" i="502"/>
  <c r="J84" i="502"/>
  <c r="I84" i="502"/>
  <c r="H84" i="502"/>
  <c r="G84" i="502"/>
  <c r="F84" i="502"/>
  <c r="E84" i="502"/>
  <c r="J83" i="502"/>
  <c r="I83" i="502"/>
  <c r="H83" i="502"/>
  <c r="G83" i="502"/>
  <c r="F83" i="502"/>
  <c r="E83" i="502"/>
  <c r="D83" i="502"/>
  <c r="D82" i="502"/>
  <c r="D81" i="502"/>
  <c r="D80" i="502"/>
  <c r="D79" i="502"/>
  <c r="D78" i="502"/>
  <c r="D77" i="502"/>
  <c r="D76" i="502"/>
  <c r="D75" i="502"/>
  <c r="D74" i="502"/>
  <c r="D73" i="502"/>
  <c r="D72" i="502"/>
  <c r="D71" i="502"/>
  <c r="D68" i="502"/>
  <c r="D67" i="502"/>
  <c r="D65" i="502"/>
  <c r="D64" i="502"/>
  <c r="D57" i="502"/>
  <c r="D56" i="502"/>
  <c r="D55" i="502"/>
  <c r="D54" i="502"/>
  <c r="D53" i="502"/>
  <c r="D52" i="502"/>
  <c r="D51" i="502"/>
  <c r="D50" i="502"/>
  <c r="D49" i="502"/>
  <c r="D48" i="502"/>
  <c r="D45" i="502"/>
  <c r="D44" i="502"/>
  <c r="D43" i="502"/>
  <c r="D42" i="502"/>
  <c r="K41" i="502"/>
  <c r="B15" i="283" s="1"/>
  <c r="J41" i="502"/>
  <c r="I41" i="502"/>
  <c r="H41" i="502"/>
  <c r="G41" i="502"/>
  <c r="F41" i="502"/>
  <c r="E41" i="502"/>
  <c r="D41" i="502"/>
  <c r="D40" i="502"/>
  <c r="D39" i="502"/>
  <c r="D38" i="502"/>
  <c r="D37" i="502"/>
  <c r="D36" i="502"/>
  <c r="D35" i="502"/>
  <c r="D34" i="502"/>
  <c r="D33" i="502"/>
  <c r="D32" i="502"/>
  <c r="J31" i="502"/>
  <c r="I31" i="502"/>
  <c r="H31" i="502"/>
  <c r="G31" i="502"/>
  <c r="F31" i="502"/>
  <c r="E31" i="502"/>
  <c r="D31" i="502"/>
  <c r="D30" i="502"/>
  <c r="D29" i="502"/>
  <c r="D28" i="502"/>
  <c r="D27" i="502"/>
  <c r="D26" i="502"/>
  <c r="D24" i="502"/>
  <c r="D23" i="502"/>
  <c r="D22" i="502"/>
  <c r="D21" i="502"/>
  <c r="D20" i="502"/>
  <c r="D19" i="502"/>
  <c r="D18" i="502"/>
  <c r="D17" i="502"/>
  <c r="D16" i="502"/>
  <c r="D15" i="502"/>
  <c r="D14" i="502"/>
  <c r="D13" i="502"/>
  <c r="D12" i="502"/>
  <c r="D11" i="502"/>
  <c r="D10" i="502"/>
  <c r="D9" i="502"/>
  <c r="D8" i="502"/>
  <c r="D7" i="502"/>
  <c r="D6" i="502"/>
  <c r="D5" i="502"/>
  <c r="D4" i="502"/>
  <c r="D3" i="502"/>
  <c r="D2" i="502"/>
  <c r="F7" i="510" l="1"/>
  <c r="F4" i="510"/>
  <c r="C2" i="510"/>
  <c r="C9" i="510" s="1"/>
  <c r="E2" i="510"/>
  <c r="F2" i="510" s="1"/>
  <c r="B2" i="510"/>
  <c r="B9" i="510" s="1"/>
  <c r="F3" i="510"/>
  <c r="B7" i="79"/>
  <c r="D3" i="67"/>
  <c r="B25" i="273"/>
  <c r="C25" i="273"/>
  <c r="C5" i="67"/>
  <c r="C26" i="273" s="1"/>
  <c r="E4" i="508"/>
  <c r="D4" i="508"/>
  <c r="C4" i="508"/>
  <c r="G3" i="508"/>
  <c r="B4" i="508"/>
  <c r="G2" i="508"/>
  <c r="B8" i="509"/>
  <c r="B8" i="100"/>
  <c r="B14" i="229"/>
  <c r="E3" i="222"/>
  <c r="C8" i="47"/>
  <c r="F4" i="55"/>
  <c r="E12" i="454"/>
  <c r="C4" i="44"/>
  <c r="F4" i="445"/>
  <c r="D4" i="134"/>
  <c r="D2" i="138"/>
  <c r="D2" i="47"/>
  <c r="D3" i="138"/>
  <c r="B8" i="47"/>
  <c r="B4" i="75"/>
  <c r="D2" i="445"/>
  <c r="F5" i="151"/>
  <c r="E10" i="175"/>
  <c r="C3" i="80"/>
  <c r="C34" i="102" s="1"/>
  <c r="E3" i="128"/>
  <c r="H14" i="229"/>
  <c r="E4" i="445"/>
  <c r="E3" i="489"/>
  <c r="E11" i="489"/>
  <c r="D9" i="154"/>
  <c r="D25" i="177"/>
  <c r="C7" i="181"/>
  <c r="C3" i="154"/>
  <c r="C3" i="127"/>
  <c r="C7" i="127" s="1"/>
  <c r="B6" i="77"/>
  <c r="C5" i="79" s="1"/>
  <c r="B6" i="114"/>
  <c r="C5" i="194"/>
  <c r="C3" i="192" s="1"/>
  <c r="C14" i="229"/>
  <c r="C5" i="140"/>
  <c r="C7" i="154"/>
  <c r="F3" i="175"/>
  <c r="F5" i="175"/>
  <c r="F7" i="175"/>
  <c r="E12" i="193"/>
  <c r="D5" i="194"/>
  <c r="D3" i="192" s="1"/>
  <c r="C17" i="195"/>
  <c r="E5" i="195"/>
  <c r="E13" i="195"/>
  <c r="F6" i="225"/>
  <c r="I4" i="227"/>
  <c r="B5" i="67"/>
  <c r="B26" i="273" s="1"/>
  <c r="E7" i="454"/>
  <c r="G6" i="130"/>
  <c r="C217" i="273" s="1"/>
  <c r="B6" i="131"/>
  <c r="B7" i="138"/>
  <c r="D14" i="229"/>
  <c r="C4" i="74"/>
  <c r="D6" i="77"/>
  <c r="C18" i="106"/>
  <c r="E9" i="450"/>
  <c r="G4" i="134"/>
  <c r="G2" i="138"/>
  <c r="K4" i="430"/>
  <c r="D4" i="154"/>
  <c r="B6" i="388"/>
  <c r="E10" i="193"/>
  <c r="E3" i="195"/>
  <c r="E11" i="195"/>
  <c r="E14" i="229"/>
  <c r="H3" i="74"/>
  <c r="E5" i="193"/>
  <c r="B4" i="43"/>
  <c r="F4" i="49"/>
  <c r="E8" i="454"/>
  <c r="E7" i="125"/>
  <c r="D5" i="127"/>
  <c r="F5" i="130"/>
  <c r="B5" i="142"/>
  <c r="B7" i="142" s="1"/>
  <c r="D5" i="154"/>
  <c r="D53" i="176"/>
  <c r="C4" i="193"/>
  <c r="C14" i="193" s="1"/>
  <c r="C2" i="192" s="1"/>
  <c r="G14" i="229"/>
  <c r="C10" i="41"/>
  <c r="C4" i="46"/>
  <c r="C213" i="273" s="1"/>
  <c r="B4" i="48"/>
  <c r="E4" i="74"/>
  <c r="E2" i="489"/>
  <c r="E10" i="489"/>
  <c r="E6" i="142"/>
  <c r="C222" i="273" s="1"/>
  <c r="B4" i="150"/>
  <c r="E2" i="193"/>
  <c r="G4" i="46"/>
  <c r="F4" i="74"/>
  <c r="D7" i="96"/>
  <c r="D2" i="111"/>
  <c r="C4" i="445"/>
  <c r="C216" i="273" s="1"/>
  <c r="D5" i="138"/>
  <c r="D5" i="142"/>
  <c r="D7" i="142" s="1"/>
  <c r="K4" i="143"/>
  <c r="F2" i="175"/>
  <c r="B5" i="194"/>
  <c r="B3" i="192" s="1"/>
  <c r="C7" i="207"/>
  <c r="D4" i="96"/>
  <c r="G5" i="106"/>
  <c r="G9" i="106"/>
  <c r="G13" i="106"/>
  <c r="G17" i="106"/>
  <c r="D3" i="111"/>
  <c r="E8" i="125"/>
  <c r="F3" i="131"/>
  <c r="E8" i="450"/>
  <c r="G3" i="138"/>
  <c r="K7" i="208"/>
  <c r="B4" i="44"/>
  <c r="C4" i="48"/>
  <c r="H3" i="49"/>
  <c r="F3" i="54"/>
  <c r="E2" i="454"/>
  <c r="D13" i="454"/>
  <c r="E10" i="454"/>
  <c r="D8" i="96"/>
  <c r="B10" i="39"/>
  <c r="B8" i="40"/>
  <c r="D3" i="46"/>
  <c r="E3" i="77"/>
  <c r="E5" i="454"/>
  <c r="D5" i="96"/>
  <c r="G4" i="111"/>
  <c r="C10" i="39"/>
  <c r="C8" i="40"/>
  <c r="B9" i="38"/>
  <c r="H2" i="49"/>
  <c r="B4" i="76"/>
  <c r="E3" i="454"/>
  <c r="E11" i="454"/>
  <c r="D6" i="131"/>
  <c r="C9" i="38"/>
  <c r="B4" i="45"/>
  <c r="C4" i="49"/>
  <c r="C4" i="76"/>
  <c r="I6" i="77"/>
  <c r="B6" i="82"/>
  <c r="B2" i="80" s="1"/>
  <c r="B3" i="80"/>
  <c r="E6" i="454"/>
  <c r="B10" i="41"/>
  <c r="B4" i="46"/>
  <c r="E4" i="49"/>
  <c r="D4" i="54"/>
  <c r="C214" i="273" s="1"/>
  <c r="E9" i="454"/>
  <c r="B6" i="130"/>
  <c r="F2" i="130"/>
  <c r="H2" i="74"/>
  <c r="B13" i="454"/>
  <c r="D3" i="113"/>
  <c r="G3" i="127"/>
  <c r="G7" i="127" s="1"/>
  <c r="E7" i="127"/>
  <c r="B5" i="37"/>
  <c r="D2" i="46"/>
  <c r="B4" i="54"/>
  <c r="C13" i="454"/>
  <c r="G12" i="96"/>
  <c r="D2" i="96"/>
  <c r="D6" i="96"/>
  <c r="D10" i="96"/>
  <c r="F4" i="122"/>
  <c r="G3" i="106"/>
  <c r="G7" i="106"/>
  <c r="G11" i="106"/>
  <c r="G15" i="106"/>
  <c r="D5" i="113"/>
  <c r="D3" i="445"/>
  <c r="E3" i="125"/>
  <c r="E11" i="125"/>
  <c r="C6" i="130"/>
  <c r="E6" i="131"/>
  <c r="F4" i="131"/>
  <c r="B13" i="450"/>
  <c r="E12" i="450"/>
  <c r="C7" i="138"/>
  <c r="C219" i="273" s="1"/>
  <c r="D6" i="138"/>
  <c r="E6" i="489"/>
  <c r="G5" i="151"/>
  <c r="E4" i="158"/>
  <c r="F9" i="175"/>
  <c r="C12" i="96"/>
  <c r="C220" i="273" s="1"/>
  <c r="B6" i="113"/>
  <c r="B8" i="119"/>
  <c r="E6" i="125"/>
  <c r="E2" i="128"/>
  <c r="D6" i="130"/>
  <c r="G6" i="131"/>
  <c r="C13" i="450"/>
  <c r="E7" i="450"/>
  <c r="E7" i="138"/>
  <c r="E9" i="489"/>
  <c r="E4" i="142"/>
  <c r="B12" i="152"/>
  <c r="B5" i="166"/>
  <c r="B3" i="162" s="1"/>
  <c r="D3" i="96"/>
  <c r="D11" i="96"/>
  <c r="G4" i="106"/>
  <c r="G8" i="106"/>
  <c r="G12" i="106"/>
  <c r="G16" i="106"/>
  <c r="B4" i="111"/>
  <c r="C6" i="113"/>
  <c r="C8" i="119"/>
  <c r="G3" i="445"/>
  <c r="E9" i="125"/>
  <c r="E6" i="130"/>
  <c r="F4" i="130"/>
  <c r="E2" i="450"/>
  <c r="D13" i="450"/>
  <c r="E10" i="450"/>
  <c r="F7" i="138"/>
  <c r="G6" i="138"/>
  <c r="B13" i="489"/>
  <c r="E12" i="489"/>
  <c r="C12" i="152"/>
  <c r="D2" i="154"/>
  <c r="E2" i="158"/>
  <c r="C5" i="166"/>
  <c r="C3" i="162" s="1"/>
  <c r="B13" i="125"/>
  <c r="E12" i="125"/>
  <c r="D4" i="127"/>
  <c r="E5" i="450"/>
  <c r="C13" i="489"/>
  <c r="E7" i="489"/>
  <c r="B5" i="151"/>
  <c r="B7" i="154"/>
  <c r="C6" i="158"/>
  <c r="E5" i="158"/>
  <c r="B10" i="175"/>
  <c r="F4" i="175"/>
  <c r="F6" i="175"/>
  <c r="B4" i="445"/>
  <c r="C13" i="125"/>
  <c r="D13" i="489"/>
  <c r="C5" i="142"/>
  <c r="C7" i="142" s="1"/>
  <c r="D6" i="158"/>
  <c r="B9" i="120"/>
  <c r="E2" i="125"/>
  <c r="D13" i="125"/>
  <c r="E10" i="125"/>
  <c r="F3" i="130"/>
  <c r="F5" i="131"/>
  <c r="E3" i="450"/>
  <c r="E11" i="450"/>
  <c r="E5" i="489"/>
  <c r="B5" i="140"/>
  <c r="C4" i="150"/>
  <c r="E3" i="158"/>
  <c r="D9" i="96"/>
  <c r="B18" i="106"/>
  <c r="G6" i="106"/>
  <c r="G10" i="106"/>
  <c r="G14" i="106"/>
  <c r="E18" i="106"/>
  <c r="D4" i="113"/>
  <c r="C9" i="120"/>
  <c r="E5" i="125"/>
  <c r="F2" i="131"/>
  <c r="E6" i="450"/>
  <c r="G5" i="138"/>
  <c r="E8" i="489"/>
  <c r="E3" i="142"/>
  <c r="E5" i="151"/>
  <c r="B7" i="160"/>
  <c r="E4" i="174"/>
  <c r="C225" i="273" s="1"/>
  <c r="C10" i="175"/>
  <c r="F8" i="175"/>
  <c r="B4" i="193"/>
  <c r="B14" i="193" s="1"/>
  <c r="B2" i="192" s="1"/>
  <c r="E7" i="193"/>
  <c r="E3" i="194"/>
  <c r="D17" i="195"/>
  <c r="E8" i="195"/>
  <c r="E16" i="195"/>
  <c r="B8" i="180"/>
  <c r="B6" i="201"/>
  <c r="B4" i="196" s="1"/>
  <c r="H4" i="227"/>
  <c r="I2" i="229"/>
  <c r="C8" i="180"/>
  <c r="E13" i="193"/>
  <c r="E6" i="195"/>
  <c r="E14" i="195"/>
  <c r="I7" i="229"/>
  <c r="E8" i="193"/>
  <c r="E4" i="194"/>
  <c r="E9" i="195"/>
  <c r="B5" i="199"/>
  <c r="B3" i="196" s="1"/>
  <c r="B15" i="218"/>
  <c r="E4" i="173"/>
  <c r="B4" i="189"/>
  <c r="D4" i="193"/>
  <c r="D14" i="193" s="1"/>
  <c r="D2" i="192" s="1"/>
  <c r="E11" i="193"/>
  <c r="E4" i="195"/>
  <c r="E12" i="195"/>
  <c r="C5" i="199"/>
  <c r="C3" i="196" s="1"/>
  <c r="C5" i="196" s="1"/>
  <c r="C15" i="218"/>
  <c r="E4" i="228"/>
  <c r="F14" i="229"/>
  <c r="B7" i="181"/>
  <c r="E3" i="193"/>
  <c r="E6" i="193"/>
  <c r="E7" i="195"/>
  <c r="E15" i="195"/>
  <c r="B7" i="197"/>
  <c r="B2" i="196" s="1"/>
  <c r="B7" i="207"/>
  <c r="B8" i="221"/>
  <c r="B6" i="187"/>
  <c r="E9" i="193"/>
  <c r="B17" i="195"/>
  <c r="E10" i="195"/>
  <c r="C8" i="221"/>
  <c r="E2" i="195"/>
  <c r="E2" i="194"/>
  <c r="D10" i="175"/>
  <c r="B10" i="258" s="1"/>
  <c r="B6" i="158"/>
  <c r="B3" i="154"/>
  <c r="D8" i="154"/>
  <c r="E2" i="142"/>
  <c r="E4" i="489"/>
  <c r="D4" i="138"/>
  <c r="G4" i="138"/>
  <c r="E4" i="450"/>
  <c r="C6" i="131"/>
  <c r="B3" i="127"/>
  <c r="E4" i="125"/>
  <c r="G2" i="445"/>
  <c r="D2" i="113"/>
  <c r="C4" i="111"/>
  <c r="C218" i="273" s="1"/>
  <c r="G2" i="106"/>
  <c r="B12" i="96"/>
  <c r="E4" i="454"/>
  <c r="B198" i="273"/>
  <c r="E2" i="77"/>
  <c r="B200" i="273"/>
  <c r="B199" i="273"/>
  <c r="B4" i="74"/>
  <c r="C28" i="273" s="1"/>
  <c r="F2" i="54"/>
  <c r="B4" i="49"/>
  <c r="D5" i="47"/>
  <c r="B34" i="391"/>
  <c r="B46" i="391"/>
  <c r="K176" i="502"/>
  <c r="H89" i="502"/>
  <c r="I89" i="502"/>
  <c r="K189" i="502"/>
  <c r="A2" i="79"/>
  <c r="D2" i="79" s="1"/>
  <c r="A4" i="79"/>
  <c r="D4" i="79" s="1"/>
  <c r="A6" i="79"/>
  <c r="D6" i="79" s="1"/>
  <c r="J89" i="502"/>
  <c r="E89" i="502"/>
  <c r="G89" i="502"/>
  <c r="F89" i="502"/>
  <c r="B11" i="391"/>
  <c r="G88" i="266"/>
  <c r="F88" i="266"/>
  <c r="G87" i="266"/>
  <c r="F87" i="266"/>
  <c r="G86" i="266"/>
  <c r="F86" i="266"/>
  <c r="C2" i="79" l="1"/>
  <c r="C6" i="79"/>
  <c r="C3" i="79"/>
  <c r="C4" i="79"/>
  <c r="C7" i="79"/>
  <c r="D7" i="79"/>
  <c r="B27" i="273"/>
  <c r="C36" i="273"/>
  <c r="G4" i="508"/>
  <c r="C4" i="80"/>
  <c r="C5" i="80" s="1"/>
  <c r="D7" i="192"/>
  <c r="E3" i="192"/>
  <c r="C7" i="192"/>
  <c r="C10" i="154"/>
  <c r="D8" i="47"/>
  <c r="E5" i="142"/>
  <c r="E7" i="142" s="1"/>
  <c r="F4" i="54"/>
  <c r="G4" i="445"/>
  <c r="D7" i="154"/>
  <c r="D4" i="445"/>
  <c r="D7" i="138"/>
  <c r="F6" i="130"/>
  <c r="B10" i="154"/>
  <c r="E13" i="489"/>
  <c r="H4" i="49"/>
  <c r="E13" i="125"/>
  <c r="D3" i="154"/>
  <c r="E13" i="454"/>
  <c r="B5" i="196"/>
  <c r="F6" i="131"/>
  <c r="H4" i="74"/>
  <c r="B28" i="273" s="1"/>
  <c r="E13" i="450"/>
  <c r="I14" i="229"/>
  <c r="E2" i="192"/>
  <c r="D4" i="111"/>
  <c r="G18" i="106"/>
  <c r="E5" i="194"/>
  <c r="E6" i="77"/>
  <c r="G7" i="138"/>
  <c r="E6" i="158"/>
  <c r="F10" i="175"/>
  <c r="D4" i="46"/>
  <c r="E17" i="195"/>
  <c r="E4" i="193"/>
  <c r="E14" i="193" s="1"/>
  <c r="D12" i="96"/>
  <c r="B34" i="102"/>
  <c r="B35" i="273" s="1"/>
  <c r="B7" i="192"/>
  <c r="D3" i="127"/>
  <c r="D10" i="154" l="1"/>
  <c r="C215" i="273"/>
  <c r="B36" i="273"/>
  <c r="B4" i="80"/>
  <c r="B5" i="80" s="1"/>
  <c r="E7" i="192"/>
  <c r="A3" i="482" l="1"/>
  <c r="A4" i="482"/>
  <c r="A5" i="482"/>
  <c r="A6" i="482"/>
  <c r="A7" i="482"/>
  <c r="A8" i="482"/>
  <c r="A9" i="482"/>
  <c r="A10" i="482"/>
  <c r="A11" i="482"/>
  <c r="A12" i="482"/>
  <c r="A13" i="482"/>
  <c r="A14" i="482"/>
  <c r="A15" i="482"/>
  <c r="A16" i="482"/>
  <c r="A17" i="482"/>
  <c r="A18" i="482"/>
  <c r="A19" i="482"/>
  <c r="A2" i="482"/>
  <c r="A3" i="481"/>
  <c r="A4" i="481"/>
  <c r="A5" i="481"/>
  <c r="A6" i="481"/>
  <c r="A7" i="481"/>
  <c r="A8" i="481"/>
  <c r="A9" i="481"/>
  <c r="A10" i="481"/>
  <c r="A11" i="481"/>
  <c r="A12" i="481"/>
  <c r="A13" i="481"/>
  <c r="A14" i="481"/>
  <c r="A15" i="481"/>
  <c r="A16" i="481"/>
  <c r="A17" i="481"/>
  <c r="A18" i="481"/>
  <c r="A19" i="481"/>
  <c r="A2" i="481"/>
  <c r="D10" i="401" l="1"/>
  <c r="K163" i="502" l="1"/>
  <c r="K146" i="502"/>
  <c r="A18" i="477"/>
  <c r="A19" i="477"/>
  <c r="A20" i="477"/>
  <c r="A21" i="477"/>
  <c r="A22" i="477"/>
  <c r="A23" i="477"/>
  <c r="A24" i="477"/>
  <c r="A25" i="477"/>
  <c r="W28" i="501" l="1"/>
  <c r="X28" i="501" s="1"/>
  <c r="W29" i="501"/>
  <c r="X29" i="501" s="1"/>
  <c r="W30" i="501"/>
  <c r="X30" i="501" s="1"/>
  <c r="W31" i="501"/>
  <c r="X31" i="501" s="1"/>
  <c r="W32" i="501"/>
  <c r="X32" i="501" s="1"/>
  <c r="W33" i="501"/>
  <c r="X33" i="501" s="1"/>
  <c r="W34" i="501"/>
  <c r="X34" i="501" s="1"/>
  <c r="W35" i="501"/>
  <c r="X35" i="501" s="1"/>
  <c r="W36" i="501"/>
  <c r="X36" i="501" s="1"/>
  <c r="W37" i="501"/>
  <c r="X37" i="501" s="1"/>
  <c r="W38" i="501"/>
  <c r="X38" i="501" s="1"/>
  <c r="W39" i="501"/>
  <c r="X39" i="501" s="1"/>
  <c r="W40" i="501"/>
  <c r="X40" i="501" s="1"/>
  <c r="W41" i="501"/>
  <c r="X41" i="501" s="1"/>
  <c r="W42" i="501"/>
  <c r="X42" i="501" s="1"/>
  <c r="W43" i="501"/>
  <c r="X43" i="501" s="1"/>
  <c r="W44" i="501"/>
  <c r="X44" i="501" s="1"/>
  <c r="W45" i="501"/>
  <c r="X45" i="501" s="1"/>
  <c r="W46" i="501"/>
  <c r="X46" i="501" s="1"/>
  <c r="W47" i="501"/>
  <c r="X47" i="501" s="1"/>
  <c r="U11" i="501"/>
  <c r="U12" i="501"/>
  <c r="U15" i="501"/>
  <c r="U25" i="501"/>
  <c r="U26" i="501"/>
  <c r="U28" i="501"/>
  <c r="V28" i="501" s="1"/>
  <c r="U29" i="501"/>
  <c r="V29" i="501" s="1"/>
  <c r="U30" i="501"/>
  <c r="V30" i="501" s="1"/>
  <c r="U31" i="501"/>
  <c r="V31" i="501" s="1"/>
  <c r="U32" i="501"/>
  <c r="V32" i="501" s="1"/>
  <c r="U33" i="501"/>
  <c r="V33" i="501" s="1"/>
  <c r="U34" i="501"/>
  <c r="V34" i="501" s="1"/>
  <c r="U35" i="501"/>
  <c r="V35" i="501" s="1"/>
  <c r="U36" i="501"/>
  <c r="V36" i="501" s="1"/>
  <c r="U37" i="501"/>
  <c r="V37" i="501" s="1"/>
  <c r="U38" i="501"/>
  <c r="V38" i="501" s="1"/>
  <c r="U39" i="501"/>
  <c r="V39" i="501" s="1"/>
  <c r="U40" i="501"/>
  <c r="V40" i="501" s="1"/>
  <c r="U41" i="501"/>
  <c r="V41" i="501" s="1"/>
  <c r="U42" i="501"/>
  <c r="V42" i="501" s="1"/>
  <c r="U43" i="501"/>
  <c r="V43" i="501" s="1"/>
  <c r="U44" i="501"/>
  <c r="V44" i="501" s="1"/>
  <c r="U45" i="501"/>
  <c r="V45" i="501" s="1"/>
  <c r="U46" i="501"/>
  <c r="V46" i="501" s="1"/>
  <c r="U47" i="501"/>
  <c r="V47" i="501" s="1"/>
  <c r="C37" i="501"/>
  <c r="G37" i="501"/>
  <c r="L37" i="501"/>
  <c r="K37" i="501" s="1"/>
  <c r="R37" i="501"/>
  <c r="S37" i="501"/>
  <c r="E37" i="176" s="1"/>
  <c r="C38" i="501"/>
  <c r="G38" i="501"/>
  <c r="F38" i="501" s="1"/>
  <c r="L38" i="501"/>
  <c r="K38" i="501" s="1"/>
  <c r="R38" i="501"/>
  <c r="S38" i="501"/>
  <c r="E38" i="176" s="1"/>
  <c r="C39" i="501"/>
  <c r="G39" i="501"/>
  <c r="L39" i="501"/>
  <c r="K39" i="501" s="1"/>
  <c r="R39" i="501"/>
  <c r="S39" i="501"/>
  <c r="C40" i="501"/>
  <c r="G40" i="501"/>
  <c r="F40" i="501" s="1"/>
  <c r="L40" i="501"/>
  <c r="K40" i="501" s="1"/>
  <c r="R40" i="501"/>
  <c r="S40" i="501"/>
  <c r="C41" i="501"/>
  <c r="G41" i="501"/>
  <c r="L41" i="501"/>
  <c r="K41" i="501" s="1"/>
  <c r="R41" i="501"/>
  <c r="S41" i="501"/>
  <c r="C42" i="501"/>
  <c r="G42" i="501"/>
  <c r="F42" i="501" s="1"/>
  <c r="L42" i="501"/>
  <c r="K42" i="501" s="1"/>
  <c r="R42" i="501"/>
  <c r="S42" i="501"/>
  <c r="C43" i="501"/>
  <c r="G43" i="501"/>
  <c r="L43" i="501"/>
  <c r="K43" i="501" s="1"/>
  <c r="R43" i="501"/>
  <c r="S43" i="501"/>
  <c r="C44" i="501"/>
  <c r="G44" i="501"/>
  <c r="F44" i="501" s="1"/>
  <c r="L44" i="501"/>
  <c r="K44" i="501" s="1"/>
  <c r="R44" i="501"/>
  <c r="S44" i="501"/>
  <c r="C45" i="501"/>
  <c r="G45" i="501"/>
  <c r="L45" i="501"/>
  <c r="K45" i="501" s="1"/>
  <c r="R45" i="501"/>
  <c r="S45" i="501"/>
  <c r="C46" i="501"/>
  <c r="G46" i="501"/>
  <c r="F46" i="501" s="1"/>
  <c r="L46" i="501"/>
  <c r="K46" i="501" s="1"/>
  <c r="R46" i="501"/>
  <c r="S46" i="501"/>
  <c r="C47" i="501"/>
  <c r="G47" i="501"/>
  <c r="L47" i="501"/>
  <c r="K47" i="501" s="1"/>
  <c r="R47" i="501"/>
  <c r="S47" i="501"/>
  <c r="F58" i="500"/>
  <c r="F59" i="500"/>
  <c r="F60" i="500"/>
  <c r="F61" i="500"/>
  <c r="F62" i="500"/>
  <c r="F63" i="500"/>
  <c r="F64" i="500"/>
  <c r="F65" i="500"/>
  <c r="F66" i="500"/>
  <c r="F67" i="500"/>
  <c r="F68" i="500"/>
  <c r="C3" i="500"/>
  <c r="C4" i="500"/>
  <c r="C5" i="500"/>
  <c r="C6" i="500"/>
  <c r="C7" i="500"/>
  <c r="C8" i="500"/>
  <c r="C9" i="500"/>
  <c r="C10" i="500"/>
  <c r="C11" i="500"/>
  <c r="C12" i="500"/>
  <c r="C13" i="500"/>
  <c r="C14" i="500"/>
  <c r="C15" i="500"/>
  <c r="C16" i="500"/>
  <c r="C17" i="500"/>
  <c r="C18" i="500"/>
  <c r="C19" i="500"/>
  <c r="C20" i="500"/>
  <c r="C21" i="500"/>
  <c r="C22" i="500"/>
  <c r="C23" i="500"/>
  <c r="C24" i="500"/>
  <c r="C25" i="500"/>
  <c r="C26" i="500"/>
  <c r="C27" i="500"/>
  <c r="C28" i="500"/>
  <c r="C29" i="500"/>
  <c r="C30" i="500"/>
  <c r="C31" i="500"/>
  <c r="C32" i="500"/>
  <c r="C33" i="500"/>
  <c r="C34" i="500"/>
  <c r="C35" i="500"/>
  <c r="C36" i="500"/>
  <c r="C37" i="500"/>
  <c r="C38" i="500"/>
  <c r="C39" i="500"/>
  <c r="C40" i="500"/>
  <c r="C41" i="500"/>
  <c r="C42" i="500"/>
  <c r="C43" i="500"/>
  <c r="C44" i="500"/>
  <c r="C45" i="500"/>
  <c r="C46" i="500"/>
  <c r="C47" i="500"/>
  <c r="C48" i="500"/>
  <c r="C49" i="500"/>
  <c r="C50" i="500"/>
  <c r="C51" i="500"/>
  <c r="C52" i="500"/>
  <c r="C53" i="500"/>
  <c r="C54" i="500"/>
  <c r="C55" i="500"/>
  <c r="C56" i="500"/>
  <c r="C57" i="500"/>
  <c r="C58" i="500"/>
  <c r="C59" i="500"/>
  <c r="C60" i="500"/>
  <c r="C61" i="500"/>
  <c r="C62" i="500"/>
  <c r="C63" i="500"/>
  <c r="C64" i="500"/>
  <c r="C65" i="500"/>
  <c r="C66" i="500"/>
  <c r="C67" i="500"/>
  <c r="C68" i="500"/>
  <c r="C2" i="500"/>
  <c r="C3" i="501"/>
  <c r="C4" i="501"/>
  <c r="C5" i="501"/>
  <c r="C6" i="501"/>
  <c r="C7" i="501"/>
  <c r="C8" i="501"/>
  <c r="C9" i="501"/>
  <c r="C10" i="501"/>
  <c r="C11" i="501"/>
  <c r="C12" i="501"/>
  <c r="C13" i="501"/>
  <c r="C14" i="501"/>
  <c r="C15" i="501"/>
  <c r="C16" i="501"/>
  <c r="C17" i="501"/>
  <c r="C18" i="501"/>
  <c r="C19" i="501"/>
  <c r="C20" i="501"/>
  <c r="C21" i="501"/>
  <c r="C22" i="501"/>
  <c r="C23" i="501"/>
  <c r="C24" i="501"/>
  <c r="C25" i="501"/>
  <c r="C26" i="501"/>
  <c r="C27" i="501"/>
  <c r="C28" i="501"/>
  <c r="C29" i="501"/>
  <c r="C30" i="501"/>
  <c r="C31" i="501"/>
  <c r="C32" i="501"/>
  <c r="C33" i="501"/>
  <c r="C34" i="501"/>
  <c r="C35" i="501"/>
  <c r="C36" i="501"/>
  <c r="C2" i="501"/>
  <c r="L2" i="500"/>
  <c r="G2" i="500"/>
  <c r="F2" i="500" s="1"/>
  <c r="V11" i="501" l="1"/>
  <c r="V15" i="501"/>
  <c r="Q37" i="501"/>
  <c r="B37" i="176" s="1"/>
  <c r="V12" i="501"/>
  <c r="P38" i="501"/>
  <c r="P42" i="501"/>
  <c r="V26" i="501"/>
  <c r="V25" i="501"/>
  <c r="Q42" i="501"/>
  <c r="T42" i="501" s="1"/>
  <c r="Q46" i="501"/>
  <c r="T46" i="501" s="1"/>
  <c r="Q40" i="501"/>
  <c r="T40" i="501" s="1"/>
  <c r="Q45" i="501"/>
  <c r="T45" i="501" s="1"/>
  <c r="Q47" i="501"/>
  <c r="Q41" i="501"/>
  <c r="Q38" i="501"/>
  <c r="B38" i="176" s="1"/>
  <c r="Q39" i="501"/>
  <c r="T39" i="501" s="1"/>
  <c r="Q44" i="501"/>
  <c r="T44" i="501" s="1"/>
  <c r="Q43" i="501"/>
  <c r="P44" i="501"/>
  <c r="P40" i="501"/>
  <c r="P46" i="501"/>
  <c r="F47" i="501"/>
  <c r="P47" i="501" s="1"/>
  <c r="F45" i="501"/>
  <c r="P45" i="501" s="1"/>
  <c r="F43" i="501"/>
  <c r="P43" i="501" s="1"/>
  <c r="F41" i="501"/>
  <c r="P41" i="501" s="1"/>
  <c r="F39" i="501"/>
  <c r="P39" i="501" s="1"/>
  <c r="F37" i="501"/>
  <c r="P37" i="501" s="1"/>
  <c r="P2" i="500"/>
  <c r="T37" i="501" l="1"/>
  <c r="C37" i="176" s="1"/>
  <c r="T38" i="501"/>
  <c r="C38" i="176" s="1"/>
  <c r="T47" i="501"/>
  <c r="T41" i="501"/>
  <c r="T43" i="501"/>
  <c r="A47" i="501" l="1"/>
  <c r="A46" i="501"/>
  <c r="A45" i="501"/>
  <c r="A44" i="501"/>
  <c r="A43" i="501"/>
  <c r="A42" i="501"/>
  <c r="A41" i="501"/>
  <c r="A40" i="501"/>
  <c r="A39" i="501"/>
  <c r="A38" i="501"/>
  <c r="A37" i="501"/>
  <c r="S36" i="501"/>
  <c r="E36" i="176" s="1"/>
  <c r="R36" i="501"/>
  <c r="L36" i="501"/>
  <c r="K36" i="501" s="1"/>
  <c r="G36" i="501"/>
  <c r="S35" i="501"/>
  <c r="E35" i="176" s="1"/>
  <c r="R35" i="501"/>
  <c r="L35" i="501"/>
  <c r="K35" i="501" s="1"/>
  <c r="G35" i="501"/>
  <c r="F35" i="501" s="1"/>
  <c r="S34" i="501"/>
  <c r="E34" i="176" s="1"/>
  <c r="R34" i="501"/>
  <c r="L34" i="501"/>
  <c r="K34" i="501" s="1"/>
  <c r="G34" i="501"/>
  <c r="S33" i="501"/>
  <c r="E33" i="176" s="1"/>
  <c r="R33" i="501"/>
  <c r="L33" i="501"/>
  <c r="K33" i="501" s="1"/>
  <c r="G33" i="501"/>
  <c r="F33" i="501" s="1"/>
  <c r="L32" i="501"/>
  <c r="K32" i="501" s="1"/>
  <c r="G32" i="501"/>
  <c r="F32" i="501" s="1"/>
  <c r="R32" i="501"/>
  <c r="B3" i="178" s="1"/>
  <c r="S31" i="501"/>
  <c r="E31" i="176" s="1"/>
  <c r="R31" i="501"/>
  <c r="L31" i="501"/>
  <c r="K31" i="501" s="1"/>
  <c r="G31" i="501"/>
  <c r="S30" i="501"/>
  <c r="E30" i="176" s="1"/>
  <c r="R30" i="501"/>
  <c r="L30" i="501"/>
  <c r="K30" i="501" s="1"/>
  <c r="G30" i="501"/>
  <c r="S29" i="501"/>
  <c r="E29" i="176" s="1"/>
  <c r="R29" i="501"/>
  <c r="L29" i="501"/>
  <c r="K29" i="501" s="1"/>
  <c r="G29" i="501"/>
  <c r="S28" i="501"/>
  <c r="E28" i="176" s="1"/>
  <c r="R28" i="501"/>
  <c r="L28" i="501"/>
  <c r="K28" i="501" s="1"/>
  <c r="G28" i="501"/>
  <c r="S27" i="501"/>
  <c r="E27" i="176" s="1"/>
  <c r="R27" i="501"/>
  <c r="L27" i="501"/>
  <c r="K27" i="501" s="1"/>
  <c r="G27" i="501"/>
  <c r="F27" i="501" s="1"/>
  <c r="S26" i="501"/>
  <c r="E26" i="176" s="1"/>
  <c r="R26" i="501"/>
  <c r="L26" i="501"/>
  <c r="K26" i="501" s="1"/>
  <c r="G26" i="501"/>
  <c r="F26" i="501" s="1"/>
  <c r="S25" i="501"/>
  <c r="E25" i="176" s="1"/>
  <c r="R25" i="501"/>
  <c r="L25" i="501"/>
  <c r="K25" i="501" s="1"/>
  <c r="G25" i="501"/>
  <c r="F25" i="501" s="1"/>
  <c r="S24" i="501"/>
  <c r="E24" i="176" s="1"/>
  <c r="R24" i="501"/>
  <c r="L24" i="501"/>
  <c r="K24" i="501" s="1"/>
  <c r="G24" i="501"/>
  <c r="F24" i="501" s="1"/>
  <c r="S23" i="501"/>
  <c r="E23" i="176" s="1"/>
  <c r="R23" i="501"/>
  <c r="L23" i="501"/>
  <c r="K23" i="501" s="1"/>
  <c r="G23" i="501"/>
  <c r="S22" i="501"/>
  <c r="E22" i="176" s="1"/>
  <c r="R22" i="501"/>
  <c r="L22" i="501"/>
  <c r="K22" i="501" s="1"/>
  <c r="G22" i="501"/>
  <c r="S21" i="501"/>
  <c r="E21" i="176" s="1"/>
  <c r="R21" i="501"/>
  <c r="L21" i="501"/>
  <c r="K21" i="501" s="1"/>
  <c r="G21" i="501"/>
  <c r="F21" i="501" s="1"/>
  <c r="S20" i="501"/>
  <c r="E20" i="176" s="1"/>
  <c r="R20" i="501"/>
  <c r="L20" i="501"/>
  <c r="K20" i="501" s="1"/>
  <c r="G20" i="501"/>
  <c r="S19" i="501"/>
  <c r="E19" i="176" s="1"/>
  <c r="R19" i="501"/>
  <c r="L19" i="501"/>
  <c r="G19" i="501"/>
  <c r="F19" i="501" s="1"/>
  <c r="S18" i="501"/>
  <c r="E18" i="176" s="1"/>
  <c r="R18" i="501"/>
  <c r="L18" i="501"/>
  <c r="K18" i="501" s="1"/>
  <c r="G18" i="501"/>
  <c r="F18" i="501" s="1"/>
  <c r="S17" i="501"/>
  <c r="E17" i="176" s="1"/>
  <c r="R17" i="501"/>
  <c r="L17" i="501"/>
  <c r="K17" i="501" s="1"/>
  <c r="G17" i="501"/>
  <c r="F17" i="501" s="1"/>
  <c r="S16" i="501"/>
  <c r="E16" i="176" s="1"/>
  <c r="R16" i="501"/>
  <c r="L16" i="501"/>
  <c r="K16" i="501" s="1"/>
  <c r="G16" i="501"/>
  <c r="F16" i="501" s="1"/>
  <c r="S15" i="501"/>
  <c r="E15" i="176" s="1"/>
  <c r="R15" i="501"/>
  <c r="L15" i="501"/>
  <c r="K15" i="501" s="1"/>
  <c r="G15" i="501"/>
  <c r="F15" i="501" s="1"/>
  <c r="S14" i="501"/>
  <c r="E14" i="176" s="1"/>
  <c r="R14" i="501"/>
  <c r="L14" i="501"/>
  <c r="G14" i="501"/>
  <c r="F14" i="501" s="1"/>
  <c r="S13" i="501"/>
  <c r="E13" i="176" s="1"/>
  <c r="R13" i="501"/>
  <c r="L13" i="501"/>
  <c r="K13" i="501" s="1"/>
  <c r="G13" i="501"/>
  <c r="F13" i="501" s="1"/>
  <c r="S12" i="501"/>
  <c r="E12" i="176" s="1"/>
  <c r="R12" i="501"/>
  <c r="L12" i="501"/>
  <c r="K12" i="501" s="1"/>
  <c r="G12" i="501"/>
  <c r="F12" i="501" s="1"/>
  <c r="S11" i="501"/>
  <c r="E11" i="176" s="1"/>
  <c r="R11" i="501"/>
  <c r="L11" i="501"/>
  <c r="K11" i="501" s="1"/>
  <c r="G11" i="501"/>
  <c r="S10" i="501"/>
  <c r="E10" i="176" s="1"/>
  <c r="R10" i="501"/>
  <c r="L10" i="501"/>
  <c r="K10" i="501" s="1"/>
  <c r="G10" i="501"/>
  <c r="S9" i="501"/>
  <c r="E9" i="176" s="1"/>
  <c r="R9" i="501"/>
  <c r="L9" i="501"/>
  <c r="K9" i="501" s="1"/>
  <c r="G9" i="501"/>
  <c r="F9" i="501" s="1"/>
  <c r="S8" i="501"/>
  <c r="E8" i="176" s="1"/>
  <c r="R8" i="501"/>
  <c r="L8" i="501"/>
  <c r="K8" i="501" s="1"/>
  <c r="G8" i="501"/>
  <c r="S7" i="501"/>
  <c r="E7" i="176" s="1"/>
  <c r="R7" i="501"/>
  <c r="L7" i="501"/>
  <c r="K7" i="501" s="1"/>
  <c r="G7" i="501"/>
  <c r="F7" i="501" s="1"/>
  <c r="S6" i="501"/>
  <c r="E6" i="176" s="1"/>
  <c r="R6" i="501"/>
  <c r="L6" i="501"/>
  <c r="K6" i="501" s="1"/>
  <c r="G6" i="501"/>
  <c r="F6" i="501" s="1"/>
  <c r="S5" i="501"/>
  <c r="E5" i="176" s="1"/>
  <c r="R5" i="501"/>
  <c r="L5" i="501"/>
  <c r="K5" i="501" s="1"/>
  <c r="G5" i="501"/>
  <c r="F5" i="501" s="1"/>
  <c r="S4" i="501"/>
  <c r="E4" i="176" s="1"/>
  <c r="R4" i="501"/>
  <c r="L4" i="501"/>
  <c r="K4" i="501" s="1"/>
  <c r="G4" i="501"/>
  <c r="S3" i="501"/>
  <c r="E3" i="176" s="1"/>
  <c r="R3" i="501"/>
  <c r="L3" i="501"/>
  <c r="K3" i="501" s="1"/>
  <c r="G3" i="501"/>
  <c r="F3" i="501" s="1"/>
  <c r="S2" i="501"/>
  <c r="E2" i="176" s="1"/>
  <c r="R2" i="501"/>
  <c r="L2" i="501"/>
  <c r="K2" i="501" s="1"/>
  <c r="G2" i="501"/>
  <c r="F2" i="501" s="1"/>
  <c r="A68" i="500"/>
  <c r="A67" i="500"/>
  <c r="A66" i="500"/>
  <c r="A65" i="500"/>
  <c r="A64" i="500"/>
  <c r="A63" i="500"/>
  <c r="A62" i="500"/>
  <c r="A61" i="500"/>
  <c r="A60" i="500"/>
  <c r="A59" i="500"/>
  <c r="A58" i="500"/>
  <c r="R57" i="500"/>
  <c r="L57" i="500"/>
  <c r="G57" i="500"/>
  <c r="F57" i="500" s="1"/>
  <c r="P57" i="500" s="1"/>
  <c r="A57" i="500" s="1"/>
  <c r="R56" i="500"/>
  <c r="L56" i="500"/>
  <c r="G56" i="500"/>
  <c r="F56" i="500" s="1"/>
  <c r="P56" i="500" s="1"/>
  <c r="A56" i="500" s="1"/>
  <c r="R55" i="500"/>
  <c r="L55" i="500"/>
  <c r="G55" i="500"/>
  <c r="F55" i="500" s="1"/>
  <c r="P55" i="500" s="1"/>
  <c r="A55" i="500" s="1"/>
  <c r="R54" i="500"/>
  <c r="L54" i="500"/>
  <c r="G54" i="500"/>
  <c r="R53" i="500"/>
  <c r="L53" i="500"/>
  <c r="G53" i="500"/>
  <c r="R52" i="500"/>
  <c r="L52" i="500"/>
  <c r="G52" i="500"/>
  <c r="R51" i="500"/>
  <c r="L51" i="500"/>
  <c r="G51" i="500"/>
  <c r="F51" i="500" s="1"/>
  <c r="P51" i="500" s="1"/>
  <c r="A51" i="500" s="1"/>
  <c r="R50" i="500"/>
  <c r="L50" i="500"/>
  <c r="G50" i="500"/>
  <c r="F50" i="500" s="1"/>
  <c r="P50" i="500" s="1"/>
  <c r="A50" i="500" s="1"/>
  <c r="R49" i="500"/>
  <c r="L49" i="500"/>
  <c r="G49" i="500"/>
  <c r="F49" i="500" s="1"/>
  <c r="P49" i="500" s="1"/>
  <c r="A49" i="500" s="1"/>
  <c r="R48" i="500"/>
  <c r="L48" i="500"/>
  <c r="G48" i="500"/>
  <c r="R47" i="500"/>
  <c r="L47" i="500"/>
  <c r="G47" i="500"/>
  <c r="F47" i="500" s="1"/>
  <c r="P47" i="500" s="1"/>
  <c r="A47" i="500" s="1"/>
  <c r="R46" i="500"/>
  <c r="L46" i="500"/>
  <c r="G46" i="500"/>
  <c r="F46" i="500" s="1"/>
  <c r="P46" i="500" s="1"/>
  <c r="A46" i="500" s="1"/>
  <c r="R45" i="500"/>
  <c r="L45" i="500"/>
  <c r="G45" i="500"/>
  <c r="F45" i="500" s="1"/>
  <c r="P45" i="500" s="1"/>
  <c r="A45" i="500" s="1"/>
  <c r="R44" i="500"/>
  <c r="L44" i="500"/>
  <c r="G44" i="500"/>
  <c r="R43" i="500"/>
  <c r="L43" i="500"/>
  <c r="G43" i="500"/>
  <c r="F43" i="500" s="1"/>
  <c r="P43" i="500" s="1"/>
  <c r="A43" i="500" s="1"/>
  <c r="R42" i="500"/>
  <c r="L42" i="500"/>
  <c r="G42" i="500"/>
  <c r="R41" i="500"/>
  <c r="L41" i="500"/>
  <c r="G41" i="500"/>
  <c r="R40" i="500"/>
  <c r="L40" i="500"/>
  <c r="G40" i="500"/>
  <c r="F40" i="500" s="1"/>
  <c r="P40" i="500" s="1"/>
  <c r="A40" i="500" s="1"/>
  <c r="R39" i="500"/>
  <c r="L39" i="500"/>
  <c r="G39" i="500"/>
  <c r="R38" i="500"/>
  <c r="L38" i="500"/>
  <c r="G38" i="500"/>
  <c r="F38" i="500" s="1"/>
  <c r="P38" i="500" s="1"/>
  <c r="A38" i="500" s="1"/>
  <c r="R37" i="500"/>
  <c r="L37" i="500"/>
  <c r="G37" i="500"/>
  <c r="F37" i="500" s="1"/>
  <c r="P37" i="500" s="1"/>
  <c r="A37" i="500" s="1"/>
  <c r="R36" i="500"/>
  <c r="L36" i="500"/>
  <c r="G36" i="500"/>
  <c r="R35" i="500"/>
  <c r="L35" i="500"/>
  <c r="G35" i="500"/>
  <c r="F35" i="500" s="1"/>
  <c r="P35" i="500" s="1"/>
  <c r="A35" i="500" s="1"/>
  <c r="R34" i="500"/>
  <c r="L34" i="500"/>
  <c r="G34" i="500"/>
  <c r="F34" i="500" s="1"/>
  <c r="P34" i="500" s="1"/>
  <c r="A34" i="500" s="1"/>
  <c r="R33" i="500"/>
  <c r="L33" i="500"/>
  <c r="G33" i="500"/>
  <c r="F33" i="500" s="1"/>
  <c r="L32" i="500"/>
  <c r="G32" i="500"/>
  <c r="F32" i="500" s="1"/>
  <c r="R32" i="500"/>
  <c r="R31" i="500"/>
  <c r="L31" i="500"/>
  <c r="G31" i="500"/>
  <c r="F31" i="500" s="1"/>
  <c r="R30" i="500"/>
  <c r="L30" i="500"/>
  <c r="G30" i="500"/>
  <c r="F30" i="500" s="1"/>
  <c r="R29" i="500"/>
  <c r="L29" i="500"/>
  <c r="G29" i="500"/>
  <c r="F29" i="500" s="1"/>
  <c r="R28" i="500"/>
  <c r="L28" i="500"/>
  <c r="G28" i="500"/>
  <c r="F28" i="500" s="1"/>
  <c r="R27" i="500"/>
  <c r="L27" i="500"/>
  <c r="G27" i="500"/>
  <c r="F27" i="500" s="1"/>
  <c r="R26" i="500"/>
  <c r="L26" i="500"/>
  <c r="G26" i="500"/>
  <c r="F26" i="500" s="1"/>
  <c r="R25" i="500"/>
  <c r="L25" i="500"/>
  <c r="G25" i="500"/>
  <c r="F25" i="500" s="1"/>
  <c r="R24" i="500"/>
  <c r="L24" i="500"/>
  <c r="G24" i="500"/>
  <c r="F24" i="500" s="1"/>
  <c r="R23" i="500"/>
  <c r="L23" i="500"/>
  <c r="G23" i="500"/>
  <c r="F23" i="500" s="1"/>
  <c r="R22" i="500"/>
  <c r="L22" i="500"/>
  <c r="G22" i="500"/>
  <c r="F22" i="500" s="1"/>
  <c r="R21" i="500"/>
  <c r="L21" i="500"/>
  <c r="G21" i="500"/>
  <c r="R20" i="500"/>
  <c r="L20" i="500"/>
  <c r="G20" i="500"/>
  <c r="F20" i="500" s="1"/>
  <c r="R19" i="500"/>
  <c r="L19" i="500"/>
  <c r="G19" i="500"/>
  <c r="F19" i="500" s="1"/>
  <c r="R18" i="500"/>
  <c r="L18" i="500"/>
  <c r="G18" i="500"/>
  <c r="F18" i="500" s="1"/>
  <c r="R17" i="500"/>
  <c r="L17" i="500"/>
  <c r="G17" i="500"/>
  <c r="R16" i="500"/>
  <c r="L16" i="500"/>
  <c r="G16" i="500"/>
  <c r="R15" i="500"/>
  <c r="L15" i="500"/>
  <c r="G15" i="500"/>
  <c r="F15" i="500" s="1"/>
  <c r="R14" i="500"/>
  <c r="L14" i="500"/>
  <c r="G14" i="500"/>
  <c r="F14" i="500" s="1"/>
  <c r="R13" i="500"/>
  <c r="L13" i="500"/>
  <c r="G13" i="500"/>
  <c r="F13" i="500" s="1"/>
  <c r="R12" i="500"/>
  <c r="L12" i="500"/>
  <c r="G12" i="500"/>
  <c r="R11" i="500"/>
  <c r="L11" i="500"/>
  <c r="G11" i="500"/>
  <c r="F11" i="500" s="1"/>
  <c r="R10" i="500"/>
  <c r="L10" i="500"/>
  <c r="G10" i="500"/>
  <c r="F10" i="500" s="1"/>
  <c r="R9" i="500"/>
  <c r="L9" i="500"/>
  <c r="G9" i="500"/>
  <c r="R8" i="500"/>
  <c r="L8" i="500"/>
  <c r="G8" i="500"/>
  <c r="F8" i="500" s="1"/>
  <c r="R7" i="500"/>
  <c r="L7" i="500"/>
  <c r="G7" i="500"/>
  <c r="R6" i="500"/>
  <c r="L6" i="500"/>
  <c r="G6" i="500"/>
  <c r="F6" i="500" s="1"/>
  <c r="R5" i="500"/>
  <c r="L5" i="500"/>
  <c r="G5" i="500"/>
  <c r="F5" i="500" s="1"/>
  <c r="R4" i="500"/>
  <c r="L4" i="500"/>
  <c r="G4" i="500"/>
  <c r="F4" i="500" s="1"/>
  <c r="R3" i="500"/>
  <c r="L3" i="500"/>
  <c r="G3" i="500"/>
  <c r="F3" i="500" s="1"/>
  <c r="R2" i="500"/>
  <c r="Q2" i="500"/>
  <c r="B2" i="177" s="1"/>
  <c r="B2" i="178" l="1"/>
  <c r="B4" i="178" s="1"/>
  <c r="Q46" i="500"/>
  <c r="Q18" i="500"/>
  <c r="P35" i="501"/>
  <c r="A35" i="501" s="1"/>
  <c r="Q12" i="501"/>
  <c r="Q34" i="501"/>
  <c r="F34" i="501"/>
  <c r="P34" i="501" s="1"/>
  <c r="A34" i="501" s="1"/>
  <c r="Q7" i="500"/>
  <c r="B7" i="177" s="1"/>
  <c r="F7" i="500"/>
  <c r="Q36" i="500"/>
  <c r="F36" i="500"/>
  <c r="Q44" i="500"/>
  <c r="F44" i="500"/>
  <c r="P44" i="500" s="1"/>
  <c r="A44" i="500" s="1"/>
  <c r="Q19" i="501"/>
  <c r="B19" i="176" s="1"/>
  <c r="K19" i="501"/>
  <c r="Q48" i="500"/>
  <c r="F48" i="500"/>
  <c r="P48" i="500" s="1"/>
  <c r="A48" i="500" s="1"/>
  <c r="Q39" i="500"/>
  <c r="F39" i="500"/>
  <c r="P39" i="500" s="1"/>
  <c r="A39" i="500" s="1"/>
  <c r="Q10" i="501"/>
  <c r="B10" i="176" s="1"/>
  <c r="F10" i="501"/>
  <c r="Q21" i="500"/>
  <c r="F21" i="500"/>
  <c r="Q4" i="501"/>
  <c r="B4" i="176" s="1"/>
  <c r="F4" i="501"/>
  <c r="Q23" i="501"/>
  <c r="B23" i="176" s="1"/>
  <c r="F23" i="501"/>
  <c r="Q31" i="501"/>
  <c r="B31" i="176" s="1"/>
  <c r="F31" i="501"/>
  <c r="Q35" i="500"/>
  <c r="Q42" i="500"/>
  <c r="F42" i="500"/>
  <c r="P42" i="500" s="1"/>
  <c r="A42" i="500" s="1"/>
  <c r="Q56" i="500"/>
  <c r="Q20" i="501"/>
  <c r="F20" i="501"/>
  <c r="Q28" i="501"/>
  <c r="B28" i="176" s="1"/>
  <c r="F28" i="501"/>
  <c r="Q52" i="500"/>
  <c r="F52" i="500"/>
  <c r="P52" i="500" s="1"/>
  <c r="A52" i="500" s="1"/>
  <c r="Q29" i="501"/>
  <c r="B29" i="176" s="1"/>
  <c r="F29" i="501"/>
  <c r="Q54" i="500"/>
  <c r="F54" i="500"/>
  <c r="P54" i="500" s="1"/>
  <c r="A54" i="500" s="1"/>
  <c r="Q36" i="501"/>
  <c r="F36" i="501"/>
  <c r="Q16" i="500"/>
  <c r="F16" i="500"/>
  <c r="Q12" i="500"/>
  <c r="F12" i="500"/>
  <c r="Q38" i="500"/>
  <c r="Q41" i="500"/>
  <c r="F41" i="500"/>
  <c r="P41" i="500" s="1"/>
  <c r="A41" i="500" s="1"/>
  <c r="Q50" i="500"/>
  <c r="Q11" i="501"/>
  <c r="B11" i="176" s="1"/>
  <c r="F11" i="501"/>
  <c r="Q22" i="501"/>
  <c r="B22" i="176" s="1"/>
  <c r="F22" i="501"/>
  <c r="Q30" i="501"/>
  <c r="B30" i="176" s="1"/>
  <c r="F30" i="501"/>
  <c r="Q4" i="500"/>
  <c r="B4" i="177" s="1"/>
  <c r="Q9" i="500"/>
  <c r="F9" i="500"/>
  <c r="Q17" i="500"/>
  <c r="F17" i="500"/>
  <c r="Q20" i="500"/>
  <c r="Q53" i="500"/>
  <c r="F53" i="500"/>
  <c r="P53" i="500" s="1"/>
  <c r="A53" i="500" s="1"/>
  <c r="Q8" i="501"/>
  <c r="B8" i="176" s="1"/>
  <c r="F8" i="501"/>
  <c r="Q14" i="501"/>
  <c r="B14" i="176" s="1"/>
  <c r="K14" i="501"/>
  <c r="Q7" i="501"/>
  <c r="B7" i="176" s="1"/>
  <c r="Q24" i="501"/>
  <c r="Q6" i="501"/>
  <c r="B6" i="176" s="1"/>
  <c r="Q27" i="501"/>
  <c r="Q3" i="501"/>
  <c r="B3" i="176" s="1"/>
  <c r="Q5" i="501"/>
  <c r="B5" i="176" s="1"/>
  <c r="Q26" i="501"/>
  <c r="Q15" i="500"/>
  <c r="Q23" i="500"/>
  <c r="Q9" i="501"/>
  <c r="B9" i="176" s="1"/>
  <c r="Q13" i="501"/>
  <c r="Q15" i="501"/>
  <c r="B15" i="176" s="1"/>
  <c r="Q16" i="501"/>
  <c r="Q17" i="501"/>
  <c r="B17" i="176" s="1"/>
  <c r="Q18" i="501"/>
  <c r="B18" i="176" s="1"/>
  <c r="Q25" i="501"/>
  <c r="B25" i="176" s="1"/>
  <c r="Q8" i="500"/>
  <c r="Q26" i="500"/>
  <c r="Q47" i="500"/>
  <c r="Q51" i="500"/>
  <c r="Q57" i="500"/>
  <c r="Q10" i="500"/>
  <c r="Q22" i="500"/>
  <c r="Q25" i="500"/>
  <c r="Q37" i="500"/>
  <c r="Q21" i="501"/>
  <c r="B21" i="176" s="1"/>
  <c r="Q35" i="501"/>
  <c r="B35" i="176" s="1"/>
  <c r="Q2" i="501"/>
  <c r="B2" i="176" s="1"/>
  <c r="Q33" i="501"/>
  <c r="B33" i="176" s="1"/>
  <c r="Q24" i="500"/>
  <c r="Q30" i="500"/>
  <c r="Q49" i="500"/>
  <c r="Q32" i="501"/>
  <c r="B32" i="176" s="1"/>
  <c r="S32" i="501"/>
  <c r="E32" i="176" s="1"/>
  <c r="E53" i="176" s="1"/>
  <c r="Q5" i="500"/>
  <c r="B5" i="177" s="1"/>
  <c r="Q6" i="500"/>
  <c r="B6" i="177" s="1"/>
  <c r="Q19" i="500"/>
  <c r="Q43" i="500"/>
  <c r="Q55" i="500"/>
  <c r="Q31" i="500"/>
  <c r="Q13" i="500"/>
  <c r="Q14" i="500"/>
  <c r="Q28" i="500"/>
  <c r="Q11" i="500"/>
  <c r="Q29" i="500"/>
  <c r="Q32" i="500"/>
  <c r="Q34" i="500"/>
  <c r="Q40" i="500"/>
  <c r="Q45" i="500"/>
  <c r="Q3" i="500"/>
  <c r="B3" i="177" s="1"/>
  <c r="Q27" i="500"/>
  <c r="Q33" i="500"/>
  <c r="B25" i="177" l="1"/>
  <c r="T34" i="501"/>
  <c r="C34" i="176" s="1"/>
  <c r="B34" i="176"/>
  <c r="T12" i="501"/>
  <c r="C12" i="176" s="1"/>
  <c r="B12" i="176"/>
  <c r="T36" i="501"/>
  <c r="C36" i="176" s="1"/>
  <c r="B36" i="176"/>
  <c r="T26" i="501"/>
  <c r="C26" i="176" s="1"/>
  <c r="B26" i="176"/>
  <c r="T27" i="501"/>
  <c r="C27" i="176" s="1"/>
  <c r="B27" i="176"/>
  <c r="T16" i="501"/>
  <c r="C16" i="176" s="1"/>
  <c r="B16" i="176"/>
  <c r="T13" i="501"/>
  <c r="C13" i="176" s="1"/>
  <c r="B13" i="176"/>
  <c r="T20" i="501"/>
  <c r="C20" i="176" s="1"/>
  <c r="B20" i="176"/>
  <c r="T24" i="501"/>
  <c r="C24" i="176" s="1"/>
  <c r="B24" i="176"/>
  <c r="T23" i="501"/>
  <c r="C23" i="176" s="1"/>
  <c r="F9" i="401"/>
  <c r="B10" i="401"/>
  <c r="G8" i="401"/>
  <c r="T14" i="501"/>
  <c r="C14" i="176" s="1"/>
  <c r="T18" i="501"/>
  <c r="C18" i="176" s="1"/>
  <c r="T4" i="501"/>
  <c r="C4" i="176" s="1"/>
  <c r="T30" i="501"/>
  <c r="C30" i="176" s="1"/>
  <c r="T22" i="501"/>
  <c r="C22" i="176" s="1"/>
  <c r="T7" i="501"/>
  <c r="C7" i="176" s="1"/>
  <c r="T29" i="501"/>
  <c r="C29" i="176" s="1"/>
  <c r="T21" i="501"/>
  <c r="C21" i="176" s="1"/>
  <c r="T3" i="501"/>
  <c r="C3" i="176" s="1"/>
  <c r="T28" i="501"/>
  <c r="C28" i="176" s="1"/>
  <c r="T10" i="501"/>
  <c r="C10" i="176" s="1"/>
  <c r="T25" i="501"/>
  <c r="C25" i="176" s="1"/>
  <c r="T6" i="501"/>
  <c r="C6" i="176" s="1"/>
  <c r="T17" i="501"/>
  <c r="C17" i="176" s="1"/>
  <c r="T11" i="501"/>
  <c r="C11" i="176" s="1"/>
  <c r="T19" i="501"/>
  <c r="C19" i="176" s="1"/>
  <c r="T2" i="501"/>
  <c r="C2" i="176" s="1"/>
  <c r="T31" i="501"/>
  <c r="C31" i="176" s="1"/>
  <c r="T35" i="501"/>
  <c r="C35" i="176" s="1"/>
  <c r="T15" i="501"/>
  <c r="C15" i="176" s="1"/>
  <c r="T9" i="501"/>
  <c r="C9" i="176" s="1"/>
  <c r="T8" i="501"/>
  <c r="C8" i="176" s="1"/>
  <c r="T33" i="501"/>
  <c r="C33" i="176" s="1"/>
  <c r="T5" i="501"/>
  <c r="C5" i="176" s="1"/>
  <c r="T32" i="501"/>
  <c r="C32" i="176" s="1"/>
  <c r="A3" i="209"/>
  <c r="A4" i="209"/>
  <c r="A5" i="209"/>
  <c r="A6" i="209"/>
  <c r="A2" i="209"/>
  <c r="A7" i="499"/>
  <c r="A8" i="499"/>
  <c r="A9" i="499"/>
  <c r="A10" i="499"/>
  <c r="A11" i="499"/>
  <c r="A12" i="499"/>
  <c r="A13" i="499"/>
  <c r="A14" i="499"/>
  <c r="A15" i="499"/>
  <c r="A16" i="499"/>
  <c r="A17" i="499"/>
  <c r="AG2" i="499"/>
  <c r="AH2" i="499"/>
  <c r="AI2" i="499"/>
  <c r="AG3" i="499"/>
  <c r="AE2" i="499"/>
  <c r="C2" i="209" s="1"/>
  <c r="AE3" i="499"/>
  <c r="C3" i="209" s="1"/>
  <c r="AD2" i="499"/>
  <c r="Z2" i="499"/>
  <c r="V2" i="499"/>
  <c r="R2" i="499"/>
  <c r="K2" i="499"/>
  <c r="N2" i="499" s="1"/>
  <c r="AI6" i="499"/>
  <c r="AH6" i="499"/>
  <c r="AG6" i="499"/>
  <c r="AE6" i="499"/>
  <c r="C6" i="209" s="1"/>
  <c r="AD6" i="499"/>
  <c r="Z6" i="499"/>
  <c r="V6" i="499"/>
  <c r="R6" i="499"/>
  <c r="K6" i="499"/>
  <c r="N6" i="499" s="1"/>
  <c r="AI5" i="499"/>
  <c r="AH5" i="499"/>
  <c r="AG5" i="499"/>
  <c r="AE5" i="499"/>
  <c r="C5" i="209" s="1"/>
  <c r="AD5" i="499"/>
  <c r="Z5" i="499"/>
  <c r="V5" i="499"/>
  <c r="R5" i="499"/>
  <c r="K5" i="499"/>
  <c r="N5" i="499" s="1"/>
  <c r="AI4" i="499"/>
  <c r="AH4" i="499"/>
  <c r="AG4" i="499"/>
  <c r="AE4" i="499"/>
  <c r="C4" i="209" s="1"/>
  <c r="AD4" i="499"/>
  <c r="Z4" i="499"/>
  <c r="V4" i="499"/>
  <c r="R4" i="499"/>
  <c r="K4" i="499"/>
  <c r="N4" i="499" s="1"/>
  <c r="AI3" i="499"/>
  <c r="AH3" i="499"/>
  <c r="AD3" i="499"/>
  <c r="Z3" i="499"/>
  <c r="V3" i="499"/>
  <c r="R3" i="499"/>
  <c r="K3" i="499"/>
  <c r="N3" i="499" s="1"/>
  <c r="A11" i="498"/>
  <c r="L4" i="498"/>
  <c r="A4" i="498" s="1"/>
  <c r="L5" i="498"/>
  <c r="A5" i="498" s="1"/>
  <c r="L6" i="498"/>
  <c r="A6" i="498" s="1"/>
  <c r="L7" i="498"/>
  <c r="A7" i="498" s="1"/>
  <c r="L8" i="498"/>
  <c r="A8" i="498" s="1"/>
  <c r="L9" i="498"/>
  <c r="A9" i="498" s="1"/>
  <c r="L10" i="498"/>
  <c r="A10" i="498" s="1"/>
  <c r="L3" i="498"/>
  <c r="A3" i="498" s="1"/>
  <c r="L2" i="498"/>
  <c r="A2" i="498" s="1"/>
  <c r="F3" i="223"/>
  <c r="F4" i="223"/>
  <c r="F2" i="223"/>
  <c r="E3" i="223"/>
  <c r="E4" i="223"/>
  <c r="E2" i="223"/>
  <c r="D3" i="223"/>
  <c r="D4" i="223"/>
  <c r="D2" i="223"/>
  <c r="C3" i="223"/>
  <c r="C4" i="223"/>
  <c r="C2" i="223"/>
  <c r="B3" i="223"/>
  <c r="B4" i="223"/>
  <c r="B2" i="223"/>
  <c r="A3" i="223"/>
  <c r="A4" i="223"/>
  <c r="A2" i="223"/>
  <c r="A13" i="497"/>
  <c r="A14" i="497"/>
  <c r="A15" i="497"/>
  <c r="A16" i="497"/>
  <c r="A17" i="497"/>
  <c r="A18" i="497"/>
  <c r="A19" i="497"/>
  <c r="A20" i="497"/>
  <c r="A21" i="497"/>
  <c r="A22" i="497"/>
  <c r="A23" i="497"/>
  <c r="A24" i="497"/>
  <c r="A25" i="497"/>
  <c r="A26" i="497"/>
  <c r="A27" i="497"/>
  <c r="A28" i="497"/>
  <c r="A29" i="497"/>
  <c r="A30" i="497"/>
  <c r="A31" i="497"/>
  <c r="A32" i="497"/>
  <c r="A33" i="497"/>
  <c r="A34" i="497"/>
  <c r="A35" i="497"/>
  <c r="K3" i="497"/>
  <c r="A3" i="497" s="1"/>
  <c r="K4" i="497"/>
  <c r="A4" i="497" s="1"/>
  <c r="K5" i="497"/>
  <c r="A5" i="497" s="1"/>
  <c r="K6" i="497"/>
  <c r="A6" i="497" s="1"/>
  <c r="K7" i="497"/>
  <c r="A7" i="497" s="1"/>
  <c r="K8" i="497"/>
  <c r="A8" i="497" s="1"/>
  <c r="K9" i="497"/>
  <c r="A9" i="497" s="1"/>
  <c r="K10" i="497"/>
  <c r="A10" i="497" s="1"/>
  <c r="K11" i="497"/>
  <c r="A11" i="497" s="1"/>
  <c r="K12" i="497"/>
  <c r="A12" i="497" s="1"/>
  <c r="K2" i="497"/>
  <c r="A2" i="497" s="1"/>
  <c r="G5" i="223"/>
  <c r="H2" i="496"/>
  <c r="A2" i="496" s="1"/>
  <c r="H14" i="496"/>
  <c r="A14" i="496" s="1"/>
  <c r="H13" i="496"/>
  <c r="A13" i="496" s="1"/>
  <c r="H12" i="496"/>
  <c r="A12" i="496" s="1"/>
  <c r="H11" i="496"/>
  <c r="A11" i="496" s="1"/>
  <c r="H10" i="496"/>
  <c r="A10" i="496" s="1"/>
  <c r="H9" i="496"/>
  <c r="A9" i="496" s="1"/>
  <c r="H8" i="496"/>
  <c r="A8" i="496" s="1"/>
  <c r="H7" i="496"/>
  <c r="A7" i="496" s="1"/>
  <c r="H6" i="496"/>
  <c r="A6" i="496" s="1"/>
  <c r="H5" i="496"/>
  <c r="A5" i="496" s="1"/>
  <c r="H4" i="496"/>
  <c r="A4" i="496" s="1"/>
  <c r="H3" i="496"/>
  <c r="A3" i="496" s="1"/>
  <c r="A3" i="495"/>
  <c r="A4" i="495"/>
  <c r="A5" i="495"/>
  <c r="A6" i="495"/>
  <c r="A7" i="495"/>
  <c r="A8" i="495"/>
  <c r="A9" i="495"/>
  <c r="A10" i="495"/>
  <c r="A11" i="495"/>
  <c r="A12" i="495"/>
  <c r="A13" i="495"/>
  <c r="A14" i="495"/>
  <c r="A15" i="495"/>
  <c r="A16" i="495"/>
  <c r="A17" i="495"/>
  <c r="A18" i="495"/>
  <c r="A19" i="495"/>
  <c r="A20" i="495"/>
  <c r="A21" i="495"/>
  <c r="A2" i="495"/>
  <c r="F3" i="215"/>
  <c r="F4" i="215"/>
  <c r="F5" i="215"/>
  <c r="F6" i="215"/>
  <c r="F7" i="215"/>
  <c r="F8" i="215"/>
  <c r="F9" i="215"/>
  <c r="F10" i="215"/>
  <c r="F11" i="215"/>
  <c r="F2" i="215"/>
  <c r="D3" i="215"/>
  <c r="D4" i="215"/>
  <c r="D5" i="215"/>
  <c r="D6" i="215"/>
  <c r="D7" i="215"/>
  <c r="D8" i="215"/>
  <c r="D9" i="215"/>
  <c r="D10" i="215"/>
  <c r="D11" i="215"/>
  <c r="D2" i="215"/>
  <c r="C3" i="215"/>
  <c r="C4" i="215"/>
  <c r="C5" i="215"/>
  <c r="C6" i="215"/>
  <c r="C7" i="215"/>
  <c r="C8" i="215"/>
  <c r="C9" i="215"/>
  <c r="C10" i="215"/>
  <c r="C11" i="215"/>
  <c r="C2" i="215"/>
  <c r="B3" i="215"/>
  <c r="B4" i="215"/>
  <c r="B5" i="215"/>
  <c r="B6" i="215"/>
  <c r="B7" i="215"/>
  <c r="B8" i="215"/>
  <c r="B9" i="215"/>
  <c r="B10" i="215"/>
  <c r="B11" i="215"/>
  <c r="B2" i="215"/>
  <c r="A3" i="215"/>
  <c r="A4" i="215"/>
  <c r="A5" i="215"/>
  <c r="A6" i="215"/>
  <c r="A7" i="215"/>
  <c r="A8" i="215"/>
  <c r="A9" i="215"/>
  <c r="A10" i="215"/>
  <c r="A11" i="215"/>
  <c r="A2" i="215"/>
  <c r="A18" i="493"/>
  <c r="A19" i="493"/>
  <c r="K3" i="493"/>
  <c r="A3" i="493" s="1"/>
  <c r="K4" i="493"/>
  <c r="A4" i="493" s="1"/>
  <c r="K5" i="493"/>
  <c r="A5" i="493" s="1"/>
  <c r="K6" i="493"/>
  <c r="A6" i="493" s="1"/>
  <c r="K7" i="493"/>
  <c r="A7" i="493" s="1"/>
  <c r="K8" i="493"/>
  <c r="A8" i="493" s="1"/>
  <c r="K9" i="493"/>
  <c r="A9" i="493" s="1"/>
  <c r="K10" i="493"/>
  <c r="A10" i="493" s="1"/>
  <c r="K11" i="493"/>
  <c r="A11" i="493" s="1"/>
  <c r="K12" i="493"/>
  <c r="A12" i="493" s="1"/>
  <c r="K13" i="493"/>
  <c r="A13" i="493" s="1"/>
  <c r="K14" i="493"/>
  <c r="A14" i="493" s="1"/>
  <c r="K15" i="493"/>
  <c r="A15" i="493" s="1"/>
  <c r="K16" i="493"/>
  <c r="A16" i="493" s="1"/>
  <c r="K17" i="493"/>
  <c r="A17" i="493" s="1"/>
  <c r="K2" i="493"/>
  <c r="A2" i="493" s="1"/>
  <c r="N22" i="492"/>
  <c r="A22" i="492" s="1"/>
  <c r="A5" i="214"/>
  <c r="C5" i="214"/>
  <c r="A6" i="214"/>
  <c r="C6" i="214"/>
  <c r="A7" i="214"/>
  <c r="C7" i="214"/>
  <c r="A8" i="214"/>
  <c r="C8" i="214"/>
  <c r="A9" i="214"/>
  <c r="C9" i="214"/>
  <c r="A10" i="214"/>
  <c r="C10" i="214"/>
  <c r="A11" i="214"/>
  <c r="C11" i="214"/>
  <c r="A12" i="214"/>
  <c r="C12" i="214"/>
  <c r="A13" i="214"/>
  <c r="C13" i="214"/>
  <c r="A14" i="214"/>
  <c r="C14" i="214"/>
  <c r="A3" i="214"/>
  <c r="A4" i="214"/>
  <c r="A2" i="214"/>
  <c r="C3" i="214"/>
  <c r="C4" i="214"/>
  <c r="C2" i="214"/>
  <c r="N3" i="492"/>
  <c r="A3" i="492" s="1"/>
  <c r="N4" i="492"/>
  <c r="A4" i="492" s="1"/>
  <c r="N5" i="492"/>
  <c r="A5" i="492" s="1"/>
  <c r="N6" i="492"/>
  <c r="X6" i="492" s="1"/>
  <c r="N7" i="492"/>
  <c r="B7" i="214" s="1"/>
  <c r="N8" i="492"/>
  <c r="A8" i="492" s="1"/>
  <c r="N9" i="492"/>
  <c r="B9" i="214" s="1"/>
  <c r="N10" i="492"/>
  <c r="B10" i="214" s="1"/>
  <c r="N11" i="492"/>
  <c r="A11" i="492" s="1"/>
  <c r="N12" i="492"/>
  <c r="A12" i="492" s="1"/>
  <c r="N13" i="492"/>
  <c r="A13" i="492" s="1"/>
  <c r="N14" i="492"/>
  <c r="X14" i="492" s="1"/>
  <c r="N15" i="492"/>
  <c r="X15" i="492" s="1"/>
  <c r="N16" i="492"/>
  <c r="A16" i="492" s="1"/>
  <c r="N17" i="492"/>
  <c r="X17" i="492" s="1"/>
  <c r="N18" i="492"/>
  <c r="A18" i="492" s="1"/>
  <c r="N19" i="492"/>
  <c r="A19" i="492" s="1"/>
  <c r="N20" i="492"/>
  <c r="A20" i="492" s="1"/>
  <c r="N21" i="492"/>
  <c r="A21" i="492" s="1"/>
  <c r="N2" i="492"/>
  <c r="B2" i="214" s="1"/>
  <c r="B53" i="176" l="1"/>
  <c r="C53" i="176"/>
  <c r="F8" i="401"/>
  <c r="AF3" i="499"/>
  <c r="AR3" i="499" s="1"/>
  <c r="AJ4" i="499"/>
  <c r="B4" i="209" s="1"/>
  <c r="AJ2" i="499"/>
  <c r="B2" i="209" s="1"/>
  <c r="AF2" i="499"/>
  <c r="AR2" i="499" s="1"/>
  <c r="AJ5" i="499"/>
  <c r="AJ6" i="499"/>
  <c r="AF6" i="499"/>
  <c r="AR6" i="499" s="1"/>
  <c r="AF4" i="499"/>
  <c r="AR4" i="499" s="1"/>
  <c r="AJ3" i="499"/>
  <c r="AF5" i="499"/>
  <c r="AR5" i="499" s="1"/>
  <c r="G4" i="223"/>
  <c r="X5" i="492"/>
  <c r="G3" i="223"/>
  <c r="A7" i="492"/>
  <c r="X10" i="492"/>
  <c r="X4" i="492"/>
  <c r="A15" i="492"/>
  <c r="X12" i="492"/>
  <c r="A9" i="492"/>
  <c r="X21" i="492"/>
  <c r="X20" i="492"/>
  <c r="X19" i="492"/>
  <c r="X3" i="492"/>
  <c r="X18" i="492"/>
  <c r="X13" i="492"/>
  <c r="A17" i="492"/>
  <c r="X11" i="492"/>
  <c r="A10" i="492"/>
  <c r="X8" i="492"/>
  <c r="A2" i="492"/>
  <c r="A14" i="492"/>
  <c r="A6" i="492"/>
  <c r="B13" i="214"/>
  <c r="B5" i="214"/>
  <c r="X9" i="492"/>
  <c r="B12" i="214"/>
  <c r="B4" i="214"/>
  <c r="X16" i="492"/>
  <c r="B11" i="214"/>
  <c r="B3" i="214"/>
  <c r="X7" i="492"/>
  <c r="B14" i="214"/>
  <c r="B6" i="214"/>
  <c r="X2" i="492"/>
  <c r="B8" i="214"/>
  <c r="X22" i="492"/>
  <c r="A2" i="499" l="1"/>
  <c r="A4" i="499"/>
  <c r="A6" i="499"/>
  <c r="B6" i="209"/>
  <c r="A5" i="499"/>
  <c r="B5" i="209"/>
  <c r="B3" i="209"/>
  <c r="A3" i="499"/>
  <c r="I8" i="491"/>
  <c r="L8" i="491" s="1"/>
  <c r="P8" i="491" s="1"/>
  <c r="I9" i="491"/>
  <c r="A9" i="491" s="1"/>
  <c r="I10" i="491"/>
  <c r="N10" i="491" s="1"/>
  <c r="I11" i="491"/>
  <c r="A11" i="491" s="1"/>
  <c r="I12" i="491"/>
  <c r="A12" i="491" s="1"/>
  <c r="I13" i="491"/>
  <c r="A13" i="491" s="1"/>
  <c r="I14" i="491"/>
  <c r="A14" i="491" s="1"/>
  <c r="I15" i="491"/>
  <c r="A15" i="491" s="1"/>
  <c r="I16" i="491"/>
  <c r="L16" i="491" s="1"/>
  <c r="P16" i="491" s="1"/>
  <c r="I17" i="491"/>
  <c r="A17" i="491" s="1"/>
  <c r="A18" i="491"/>
  <c r="A19" i="491"/>
  <c r="A20" i="491"/>
  <c r="A21" i="491"/>
  <c r="A22" i="491"/>
  <c r="A23" i="491"/>
  <c r="A24" i="491"/>
  <c r="I3" i="491"/>
  <c r="L3" i="491" s="1"/>
  <c r="P3" i="491" s="1"/>
  <c r="I4" i="491"/>
  <c r="N4" i="491" s="1"/>
  <c r="I5" i="491"/>
  <c r="N5" i="491" s="1"/>
  <c r="I6" i="491"/>
  <c r="A6" i="491" s="1"/>
  <c r="I7" i="491"/>
  <c r="A7" i="491" s="1"/>
  <c r="I2" i="491"/>
  <c r="A2" i="491" l="1"/>
  <c r="B2" i="216"/>
  <c r="A10" i="491"/>
  <c r="L9" i="491"/>
  <c r="P9" i="491" s="1"/>
  <c r="L4" i="491"/>
  <c r="P4" i="491" s="1"/>
  <c r="A16" i="491"/>
  <c r="N17" i="491"/>
  <c r="N16" i="491"/>
  <c r="A8" i="491"/>
  <c r="N8" i="491"/>
  <c r="L17" i="491"/>
  <c r="P17" i="491" s="1"/>
  <c r="L11" i="491"/>
  <c r="P11" i="491" s="1"/>
  <c r="N11" i="491"/>
  <c r="L5" i="491"/>
  <c r="P5" i="491" s="1"/>
  <c r="N9" i="491"/>
  <c r="N2" i="491"/>
  <c r="L14" i="491"/>
  <c r="P14" i="491" s="1"/>
  <c r="A5" i="491"/>
  <c r="L2" i="491"/>
  <c r="A4" i="491"/>
  <c r="L13" i="491"/>
  <c r="P13" i="491" s="1"/>
  <c r="N15" i="491"/>
  <c r="L7" i="491"/>
  <c r="P7" i="491" s="1"/>
  <c r="N7" i="491"/>
  <c r="N3" i="491"/>
  <c r="A3" i="491"/>
  <c r="L12" i="491"/>
  <c r="P12" i="491" s="1"/>
  <c r="N14" i="491"/>
  <c r="L6" i="491"/>
  <c r="P6" i="491" s="1"/>
  <c r="N13" i="491"/>
  <c r="N6" i="491"/>
  <c r="L10" i="491"/>
  <c r="P10" i="491" s="1"/>
  <c r="N12" i="491"/>
  <c r="L15" i="491"/>
  <c r="P15" i="491" s="1"/>
  <c r="E2" i="446"/>
  <c r="E3" i="121"/>
  <c r="E4" i="121"/>
  <c r="E5" i="121"/>
  <c r="E6" i="121"/>
  <c r="E7" i="121"/>
  <c r="E8" i="121"/>
  <c r="D3" i="121"/>
  <c r="D4" i="121"/>
  <c r="D5" i="121"/>
  <c r="D6" i="121"/>
  <c r="D7" i="121"/>
  <c r="D8" i="121"/>
  <c r="D2" i="121"/>
  <c r="C3" i="121"/>
  <c r="C4" i="121"/>
  <c r="C5" i="121"/>
  <c r="C6" i="121"/>
  <c r="C7" i="121"/>
  <c r="C8" i="121"/>
  <c r="C2" i="121"/>
  <c r="B3" i="121"/>
  <c r="B4" i="121"/>
  <c r="B5" i="121"/>
  <c r="B6" i="121"/>
  <c r="B7" i="121"/>
  <c r="B8" i="121"/>
  <c r="B2" i="121"/>
  <c r="A3" i="121"/>
  <c r="A4" i="121"/>
  <c r="A5" i="121"/>
  <c r="A6" i="121"/>
  <c r="A7" i="121"/>
  <c r="A8" i="121"/>
  <c r="A2" i="121"/>
  <c r="A3" i="116"/>
  <c r="B3" i="116"/>
  <c r="C3" i="116"/>
  <c r="D3" i="116"/>
  <c r="E3" i="116"/>
  <c r="A4" i="116"/>
  <c r="B4" i="116"/>
  <c r="C4" i="116"/>
  <c r="D4" i="116"/>
  <c r="E4" i="116"/>
  <c r="A5" i="116"/>
  <c r="B5" i="116"/>
  <c r="C5" i="116"/>
  <c r="D5" i="116"/>
  <c r="E5" i="116"/>
  <c r="A6" i="116"/>
  <c r="B6" i="116"/>
  <c r="C6" i="116"/>
  <c r="D6" i="116"/>
  <c r="E6" i="116"/>
  <c r="A7" i="116"/>
  <c r="B7" i="116"/>
  <c r="C7" i="116"/>
  <c r="D7" i="116"/>
  <c r="E7" i="116"/>
  <c r="A8" i="116"/>
  <c r="B8" i="116"/>
  <c r="C8" i="116"/>
  <c r="D8" i="116"/>
  <c r="E8" i="116"/>
  <c r="A9" i="116"/>
  <c r="B9" i="116"/>
  <c r="C9" i="116"/>
  <c r="D9" i="116"/>
  <c r="E9" i="116"/>
  <c r="A10" i="116"/>
  <c r="B10" i="116"/>
  <c r="C10" i="116"/>
  <c r="D10" i="116"/>
  <c r="E10" i="116"/>
  <c r="E2" i="116"/>
  <c r="D2" i="116"/>
  <c r="C2" i="116"/>
  <c r="B2" i="116"/>
  <c r="A2" i="116"/>
  <c r="E3" i="115"/>
  <c r="F3" i="115"/>
  <c r="G3" i="115"/>
  <c r="E4" i="115"/>
  <c r="F4" i="115"/>
  <c r="G4" i="115"/>
  <c r="E5" i="115"/>
  <c r="F5" i="115"/>
  <c r="G5" i="115"/>
  <c r="E6" i="115"/>
  <c r="F6" i="115"/>
  <c r="G6" i="115"/>
  <c r="E7" i="115"/>
  <c r="F7" i="115"/>
  <c r="G7" i="115"/>
  <c r="E8" i="115"/>
  <c r="F8" i="115"/>
  <c r="G8" i="115"/>
  <c r="E9" i="115"/>
  <c r="F9" i="115"/>
  <c r="G9" i="115"/>
  <c r="E10" i="115"/>
  <c r="F10" i="115"/>
  <c r="G10" i="115"/>
  <c r="E11" i="115"/>
  <c r="F11" i="115"/>
  <c r="G11" i="115"/>
  <c r="E12" i="115"/>
  <c r="F12" i="115"/>
  <c r="G12" i="115"/>
  <c r="A3" i="115"/>
  <c r="A4" i="115"/>
  <c r="A5" i="115"/>
  <c r="A6" i="115"/>
  <c r="A7" i="115"/>
  <c r="A8" i="115"/>
  <c r="A9" i="115"/>
  <c r="A10" i="115"/>
  <c r="A11" i="115"/>
  <c r="A12" i="115"/>
  <c r="G2" i="115"/>
  <c r="F2" i="115"/>
  <c r="E2" i="115"/>
  <c r="A2" i="115"/>
  <c r="O18" i="490"/>
  <c r="E18" i="490"/>
  <c r="A18" i="490"/>
  <c r="O17" i="490"/>
  <c r="E17" i="490"/>
  <c r="A17" i="490"/>
  <c r="O16" i="490"/>
  <c r="E16" i="490"/>
  <c r="A16" i="490"/>
  <c r="O15" i="490"/>
  <c r="E15" i="490"/>
  <c r="A15" i="490"/>
  <c r="O14" i="490"/>
  <c r="E14" i="490"/>
  <c r="A14" i="490"/>
  <c r="O13" i="490"/>
  <c r="E13" i="490"/>
  <c r="A13" i="490"/>
  <c r="O12" i="490"/>
  <c r="E12" i="490"/>
  <c r="A12" i="490"/>
  <c r="O11" i="490"/>
  <c r="E11" i="490"/>
  <c r="A11" i="490"/>
  <c r="O10" i="490"/>
  <c r="E10" i="490"/>
  <c r="A10" i="490"/>
  <c r="O9" i="490"/>
  <c r="E9" i="490"/>
  <c r="A9" i="490"/>
  <c r="O8" i="490"/>
  <c r="E8" i="490"/>
  <c r="A8" i="490"/>
  <c r="O7" i="490"/>
  <c r="E7" i="490"/>
  <c r="A7" i="490"/>
  <c r="O6" i="490"/>
  <c r="E6" i="490"/>
  <c r="A6" i="490"/>
  <c r="O5" i="490"/>
  <c r="E5" i="490"/>
  <c r="A5" i="490"/>
  <c r="O4" i="490"/>
  <c r="E4" i="490"/>
  <c r="A4" i="490"/>
  <c r="O3" i="490"/>
  <c r="E3" i="490"/>
  <c r="A3" i="490"/>
  <c r="O2" i="490"/>
  <c r="E2" i="490"/>
  <c r="A2" i="490"/>
  <c r="E3" i="58"/>
  <c r="E4" i="58"/>
  <c r="E5" i="58"/>
  <c r="E6" i="58"/>
  <c r="E7" i="58"/>
  <c r="E8" i="58"/>
  <c r="E2" i="58"/>
  <c r="B3" i="216" l="1"/>
  <c r="B5" i="216" s="1"/>
  <c r="D2" i="67"/>
  <c r="D4" i="67"/>
  <c r="P2" i="491"/>
  <c r="F8" i="121"/>
  <c r="F5" i="121"/>
  <c r="F4" i="121"/>
  <c r="F3" i="121"/>
  <c r="F2" i="116"/>
  <c r="F7" i="121"/>
  <c r="F6" i="121"/>
  <c r="A87" i="368"/>
  <c r="A88" i="368"/>
  <c r="A89" i="368"/>
  <c r="A90" i="368"/>
  <c r="A91" i="368"/>
  <c r="A92" i="368"/>
  <c r="A93" i="368"/>
  <c r="A94" i="368"/>
  <c r="A95" i="368"/>
  <c r="A96" i="368"/>
  <c r="A97" i="368"/>
  <c r="A98" i="368"/>
  <c r="A99" i="368"/>
  <c r="A100" i="368"/>
  <c r="A101" i="368"/>
  <c r="A102" i="368"/>
  <c r="A103" i="368"/>
  <c r="A104" i="368"/>
  <c r="A105" i="368"/>
  <c r="A106" i="368"/>
  <c r="A107" i="368"/>
  <c r="A108" i="368"/>
  <c r="A109" i="368"/>
  <c r="A110" i="368"/>
  <c r="A111" i="368"/>
  <c r="A112" i="368"/>
  <c r="A113" i="368"/>
  <c r="A114" i="368"/>
  <c r="A115" i="368"/>
  <c r="A116" i="368"/>
  <c r="A117" i="368"/>
  <c r="A118" i="368"/>
  <c r="A119" i="368"/>
  <c r="A120" i="368"/>
  <c r="A121" i="368"/>
  <c r="A122" i="368"/>
  <c r="A123" i="368"/>
  <c r="A124" i="368"/>
  <c r="A125" i="368"/>
  <c r="A126" i="368"/>
  <c r="A127" i="368"/>
  <c r="A128" i="368"/>
  <c r="A129" i="368"/>
  <c r="A130" i="368"/>
  <c r="A131" i="368"/>
  <c r="A132" i="368"/>
  <c r="A133" i="368"/>
  <c r="A134" i="368"/>
  <c r="A135" i="368"/>
  <c r="A136" i="368"/>
  <c r="A137" i="368"/>
  <c r="A138" i="368"/>
  <c r="A139" i="368"/>
  <c r="A140" i="368"/>
  <c r="A141" i="368"/>
  <c r="A142" i="368"/>
  <c r="A143" i="368"/>
  <c r="A144" i="368"/>
  <c r="A145" i="368"/>
  <c r="A146" i="368"/>
  <c r="A147" i="368"/>
  <c r="A148" i="368"/>
  <c r="A149" i="368"/>
  <c r="A150" i="368"/>
  <c r="A151" i="368"/>
  <c r="A152" i="368"/>
  <c r="A153" i="368"/>
  <c r="A154" i="368"/>
  <c r="A155" i="368"/>
  <c r="A156" i="368"/>
  <c r="A157" i="368"/>
  <c r="A158" i="368"/>
  <c r="A159" i="368"/>
  <c r="A160" i="368"/>
  <c r="A22" i="368"/>
  <c r="A23" i="368"/>
  <c r="A24" i="368"/>
  <c r="A25" i="368"/>
  <c r="A26" i="368"/>
  <c r="A27" i="368"/>
  <c r="A28" i="368"/>
  <c r="A29" i="368"/>
  <c r="A30" i="368"/>
  <c r="A31" i="368"/>
  <c r="A32" i="368"/>
  <c r="A33" i="368"/>
  <c r="A34" i="368"/>
  <c r="A35" i="368"/>
  <c r="A36" i="368"/>
  <c r="A37" i="368"/>
  <c r="A38" i="368"/>
  <c r="A39" i="368"/>
  <c r="A40" i="368"/>
  <c r="A41" i="368"/>
  <c r="A42" i="368"/>
  <c r="A43" i="368"/>
  <c r="A44" i="368"/>
  <c r="A45" i="368"/>
  <c r="A46" i="368"/>
  <c r="A47" i="368"/>
  <c r="A48" i="368"/>
  <c r="A49" i="368"/>
  <c r="A50" i="368"/>
  <c r="A51" i="368"/>
  <c r="A52" i="368"/>
  <c r="A53" i="368"/>
  <c r="A54" i="368"/>
  <c r="A55" i="368"/>
  <c r="A56" i="368"/>
  <c r="A57" i="368"/>
  <c r="A58" i="368"/>
  <c r="A59" i="368"/>
  <c r="A60" i="368"/>
  <c r="A61" i="368"/>
  <c r="A62" i="368"/>
  <c r="A63" i="368"/>
  <c r="A64" i="368"/>
  <c r="A65" i="368"/>
  <c r="A66" i="368"/>
  <c r="A67" i="368"/>
  <c r="A68" i="368"/>
  <c r="A69" i="368"/>
  <c r="A70" i="368"/>
  <c r="A71" i="368"/>
  <c r="A72" i="368"/>
  <c r="A73" i="368"/>
  <c r="A74" i="368"/>
  <c r="A75" i="368"/>
  <c r="A76" i="368"/>
  <c r="A77" i="368"/>
  <c r="A78" i="368"/>
  <c r="A79" i="368"/>
  <c r="A80" i="368"/>
  <c r="A81" i="368"/>
  <c r="A82" i="368"/>
  <c r="A83" i="368"/>
  <c r="A84" i="368"/>
  <c r="A85" i="368"/>
  <c r="A86" i="368"/>
  <c r="F19" i="482" l="1"/>
  <c r="F18" i="482"/>
  <c r="F17" i="482"/>
  <c r="F16" i="482"/>
  <c r="F15" i="482"/>
  <c r="F14" i="482"/>
  <c r="F13" i="482"/>
  <c r="F12" i="482"/>
  <c r="F11" i="482"/>
  <c r="F10" i="482"/>
  <c r="F9" i="482"/>
  <c r="F7" i="482"/>
  <c r="F6" i="482"/>
  <c r="F5" i="482"/>
  <c r="F4" i="482"/>
  <c r="F3" i="482"/>
  <c r="F2" i="482"/>
  <c r="F3" i="481"/>
  <c r="F4" i="481"/>
  <c r="F5" i="481"/>
  <c r="F6" i="481"/>
  <c r="F7" i="481"/>
  <c r="F8" i="481"/>
  <c r="F9" i="481"/>
  <c r="F10" i="481"/>
  <c r="F11" i="481"/>
  <c r="F12" i="481"/>
  <c r="F13" i="481"/>
  <c r="F14" i="481"/>
  <c r="F15" i="481"/>
  <c r="F16" i="481"/>
  <c r="F17" i="481"/>
  <c r="F18" i="481"/>
  <c r="F19" i="481"/>
  <c r="F2" i="481"/>
  <c r="E3" i="215"/>
  <c r="E4" i="215"/>
  <c r="E5" i="215"/>
  <c r="E6" i="215"/>
  <c r="E7" i="215"/>
  <c r="E8" i="215"/>
  <c r="E9" i="215"/>
  <c r="E10" i="215"/>
  <c r="E11" i="215"/>
  <c r="U2" i="480"/>
  <c r="A2" i="480" s="1"/>
  <c r="U11" i="480"/>
  <c r="A11" i="480" s="1"/>
  <c r="U12" i="480"/>
  <c r="A12" i="480" s="1"/>
  <c r="U13" i="480"/>
  <c r="A13" i="480" s="1"/>
  <c r="U14" i="480"/>
  <c r="A14" i="480" s="1"/>
  <c r="U15" i="480"/>
  <c r="U16" i="480"/>
  <c r="A16" i="480" s="1"/>
  <c r="U17" i="480"/>
  <c r="U18" i="480"/>
  <c r="U19" i="480"/>
  <c r="A19" i="480" s="1"/>
  <c r="U20" i="480"/>
  <c r="A20" i="480" s="1"/>
  <c r="U21" i="480"/>
  <c r="U22" i="480"/>
  <c r="U23" i="480"/>
  <c r="U10" i="480"/>
  <c r="U9" i="480"/>
  <c r="U8" i="480"/>
  <c r="A8" i="480" s="1"/>
  <c r="U7" i="480"/>
  <c r="U6" i="480"/>
  <c r="A6" i="480" s="1"/>
  <c r="U5" i="480"/>
  <c r="A5" i="480" s="1"/>
  <c r="U4" i="480"/>
  <c r="A4" i="480" s="1"/>
  <c r="U3" i="480"/>
  <c r="A3" i="480" s="1"/>
  <c r="A23" i="479"/>
  <c r="A24" i="479"/>
  <c r="H3" i="479"/>
  <c r="A3" i="479" s="1"/>
  <c r="H4" i="479"/>
  <c r="M4" i="479" s="1"/>
  <c r="H5" i="479"/>
  <c r="A5" i="479" s="1"/>
  <c r="H6" i="479"/>
  <c r="M6" i="479" s="1"/>
  <c r="H7" i="479"/>
  <c r="A7" i="479" s="1"/>
  <c r="H8" i="479"/>
  <c r="A8" i="479" s="1"/>
  <c r="H9" i="479"/>
  <c r="A9" i="479" s="1"/>
  <c r="H10" i="479"/>
  <c r="A10" i="479" s="1"/>
  <c r="H11" i="479"/>
  <c r="A11" i="479" s="1"/>
  <c r="H12" i="479"/>
  <c r="M12" i="479" s="1"/>
  <c r="H13" i="479"/>
  <c r="A13" i="479" s="1"/>
  <c r="H14" i="479"/>
  <c r="M14" i="479" s="1"/>
  <c r="H15" i="479"/>
  <c r="A15" i="479" s="1"/>
  <c r="H16" i="479"/>
  <c r="A16" i="479" s="1"/>
  <c r="H17" i="479"/>
  <c r="A17" i="479" s="1"/>
  <c r="H18" i="479"/>
  <c r="A18" i="479" s="1"/>
  <c r="H19" i="479"/>
  <c r="A19" i="479" s="1"/>
  <c r="H20" i="479"/>
  <c r="M20" i="479" s="1"/>
  <c r="H21" i="479"/>
  <c r="A21" i="479" s="1"/>
  <c r="H22" i="479"/>
  <c r="M22" i="479" s="1"/>
  <c r="H2" i="479"/>
  <c r="A2" i="479" s="1"/>
  <c r="I17" i="478"/>
  <c r="L17" i="478" s="1"/>
  <c r="I18" i="478"/>
  <c r="L18" i="478" s="1"/>
  <c r="I19" i="478"/>
  <c r="L19" i="478" s="1"/>
  <c r="I20" i="478"/>
  <c r="L20" i="478" s="1"/>
  <c r="I21" i="478"/>
  <c r="L21" i="478" s="1"/>
  <c r="I22" i="478"/>
  <c r="L22" i="478" s="1"/>
  <c r="I23" i="478"/>
  <c r="L23" i="478" s="1"/>
  <c r="I24" i="478"/>
  <c r="L24" i="478" s="1"/>
  <c r="I5" i="478"/>
  <c r="L5" i="478" s="1"/>
  <c r="I6" i="478"/>
  <c r="L6" i="478" s="1"/>
  <c r="I7" i="478"/>
  <c r="L7" i="478" s="1"/>
  <c r="I8" i="478"/>
  <c r="L8" i="478" s="1"/>
  <c r="I9" i="478"/>
  <c r="L9" i="478" s="1"/>
  <c r="I10" i="478"/>
  <c r="L10" i="478" s="1"/>
  <c r="I11" i="478"/>
  <c r="L11" i="478" s="1"/>
  <c r="I12" i="478"/>
  <c r="L12" i="478" s="1"/>
  <c r="I13" i="478"/>
  <c r="L13" i="478" s="1"/>
  <c r="I14" i="478"/>
  <c r="L14" i="478" s="1"/>
  <c r="I15" i="478"/>
  <c r="L15" i="478" s="1"/>
  <c r="I16" i="478"/>
  <c r="L16" i="478" s="1"/>
  <c r="A3" i="478"/>
  <c r="A4" i="478"/>
  <c r="A5" i="478"/>
  <c r="A6" i="478"/>
  <c r="A7" i="478"/>
  <c r="A8" i="478"/>
  <c r="A9" i="478"/>
  <c r="A10" i="478"/>
  <c r="A11" i="478"/>
  <c r="A12" i="478"/>
  <c r="A13" i="478"/>
  <c r="A14" i="478"/>
  <c r="A15" i="478"/>
  <c r="A16" i="478"/>
  <c r="A2" i="478"/>
  <c r="I4" i="478"/>
  <c r="L4" i="478" s="1"/>
  <c r="I3" i="478"/>
  <c r="L3" i="478" s="1"/>
  <c r="I2" i="478"/>
  <c r="L2" i="478" s="1"/>
  <c r="B14" i="476"/>
  <c r="F17" i="477"/>
  <c r="A17" i="477" s="1"/>
  <c r="F16" i="477"/>
  <c r="A16" i="477" s="1"/>
  <c r="F15" i="477"/>
  <c r="A15" i="477" s="1"/>
  <c r="F14" i="477"/>
  <c r="A14" i="477" s="1"/>
  <c r="F13" i="477"/>
  <c r="A13" i="477" s="1"/>
  <c r="F12" i="477"/>
  <c r="A12" i="477" s="1"/>
  <c r="F11" i="477"/>
  <c r="A11" i="477" s="1"/>
  <c r="F10" i="477"/>
  <c r="A10" i="477" s="1"/>
  <c r="F9" i="477"/>
  <c r="A9" i="477" s="1"/>
  <c r="F8" i="477"/>
  <c r="A8" i="477" s="1"/>
  <c r="F7" i="477"/>
  <c r="A7" i="477" s="1"/>
  <c r="F6" i="477"/>
  <c r="A6" i="477" s="1"/>
  <c r="F5" i="477"/>
  <c r="A5" i="477" s="1"/>
  <c r="F4" i="477"/>
  <c r="A4" i="477" s="1"/>
  <c r="F3" i="477"/>
  <c r="A3" i="477" s="1"/>
  <c r="F2" i="477"/>
  <c r="A2" i="477" s="1"/>
  <c r="B6" i="476"/>
  <c r="B2" i="476"/>
  <c r="L3" i="474"/>
  <c r="L4" i="474"/>
  <c r="L5" i="474"/>
  <c r="L6" i="474"/>
  <c r="L7" i="474"/>
  <c r="L8" i="474"/>
  <c r="L9" i="474"/>
  <c r="L10" i="474"/>
  <c r="L11" i="474"/>
  <c r="L12" i="474"/>
  <c r="L13" i="474"/>
  <c r="L14" i="474"/>
  <c r="L15" i="474"/>
  <c r="L16" i="474"/>
  <c r="L17" i="474"/>
  <c r="L18" i="474"/>
  <c r="L19" i="474"/>
  <c r="L20" i="474"/>
  <c r="L21" i="474"/>
  <c r="L22" i="474"/>
  <c r="L23" i="474"/>
  <c r="L24" i="474"/>
  <c r="L25" i="474"/>
  <c r="L2" i="474"/>
  <c r="R99" i="472"/>
  <c r="A99" i="472" s="1"/>
  <c r="R98" i="472"/>
  <c r="A98" i="472" s="1"/>
  <c r="R97" i="472"/>
  <c r="A97" i="472" s="1"/>
  <c r="R96" i="472"/>
  <c r="A96" i="472" s="1"/>
  <c r="R95" i="472"/>
  <c r="A95" i="472" s="1"/>
  <c r="R94" i="472"/>
  <c r="A94" i="472" s="1"/>
  <c r="R93" i="472"/>
  <c r="A93" i="472" s="1"/>
  <c r="R92" i="472"/>
  <c r="A92" i="472" s="1"/>
  <c r="R91" i="472"/>
  <c r="A91" i="472" s="1"/>
  <c r="R90" i="472"/>
  <c r="A90" i="472" s="1"/>
  <c r="R89" i="472"/>
  <c r="A89" i="472" s="1"/>
  <c r="R88" i="472"/>
  <c r="A88" i="472" s="1"/>
  <c r="R87" i="472"/>
  <c r="A87" i="472" s="1"/>
  <c r="R86" i="472"/>
  <c r="A86" i="472" s="1"/>
  <c r="R85" i="472"/>
  <c r="A85" i="472" s="1"/>
  <c r="R84" i="472"/>
  <c r="A84" i="472" s="1"/>
  <c r="R83" i="472"/>
  <c r="A83" i="472" s="1"/>
  <c r="R82" i="472"/>
  <c r="A82" i="472" s="1"/>
  <c r="R81" i="472"/>
  <c r="A81" i="472" s="1"/>
  <c r="R80" i="472"/>
  <c r="A80" i="472" s="1"/>
  <c r="R79" i="472"/>
  <c r="A79" i="472" s="1"/>
  <c r="R78" i="472"/>
  <c r="A78" i="472" s="1"/>
  <c r="R77" i="472"/>
  <c r="A77" i="472" s="1"/>
  <c r="R76" i="472"/>
  <c r="A76" i="472" s="1"/>
  <c r="R75" i="472"/>
  <c r="A75" i="472" s="1"/>
  <c r="R74" i="472"/>
  <c r="A74" i="472" s="1"/>
  <c r="R73" i="472"/>
  <c r="A73" i="472" s="1"/>
  <c r="R72" i="472"/>
  <c r="A72" i="472" s="1"/>
  <c r="R71" i="472"/>
  <c r="A71" i="472" s="1"/>
  <c r="R70" i="472"/>
  <c r="A70" i="472" s="1"/>
  <c r="R69" i="472"/>
  <c r="A69" i="472" s="1"/>
  <c r="R68" i="472"/>
  <c r="A68" i="472" s="1"/>
  <c r="R67" i="472"/>
  <c r="A67" i="472" s="1"/>
  <c r="R66" i="472"/>
  <c r="A66" i="472" s="1"/>
  <c r="R65" i="472"/>
  <c r="A65" i="472" s="1"/>
  <c r="R64" i="472"/>
  <c r="A64" i="472" s="1"/>
  <c r="R63" i="472"/>
  <c r="A63" i="472" s="1"/>
  <c r="R62" i="472"/>
  <c r="A62" i="472" s="1"/>
  <c r="R61" i="472"/>
  <c r="A61" i="472" s="1"/>
  <c r="R60" i="472"/>
  <c r="A60" i="472" s="1"/>
  <c r="R59" i="472"/>
  <c r="A59" i="472" s="1"/>
  <c r="R58" i="472"/>
  <c r="A58" i="472" s="1"/>
  <c r="R57" i="472"/>
  <c r="A57" i="472" s="1"/>
  <c r="R56" i="472"/>
  <c r="A56" i="472" s="1"/>
  <c r="R55" i="472"/>
  <c r="A55" i="472" s="1"/>
  <c r="R54" i="472"/>
  <c r="A54" i="472" s="1"/>
  <c r="R53" i="472"/>
  <c r="A53" i="472" s="1"/>
  <c r="R52" i="472"/>
  <c r="A52" i="472" s="1"/>
  <c r="R51" i="472"/>
  <c r="A51" i="472" s="1"/>
  <c r="R50" i="472"/>
  <c r="A50" i="472" s="1"/>
  <c r="R49" i="472"/>
  <c r="A49" i="472" s="1"/>
  <c r="R48" i="472"/>
  <c r="A48" i="472" s="1"/>
  <c r="R47" i="472"/>
  <c r="A47" i="472" s="1"/>
  <c r="R46" i="472"/>
  <c r="A46" i="472" s="1"/>
  <c r="R45" i="472"/>
  <c r="A45" i="472" s="1"/>
  <c r="R44" i="472"/>
  <c r="A44" i="472" s="1"/>
  <c r="R43" i="472"/>
  <c r="A43" i="472" s="1"/>
  <c r="R42" i="472"/>
  <c r="A42" i="472" s="1"/>
  <c r="R41" i="472"/>
  <c r="A41" i="472" s="1"/>
  <c r="R40" i="472"/>
  <c r="A40" i="472" s="1"/>
  <c r="R39" i="472"/>
  <c r="A39" i="472" s="1"/>
  <c r="R38" i="472"/>
  <c r="A38" i="472" s="1"/>
  <c r="R37" i="472"/>
  <c r="A37" i="472" s="1"/>
  <c r="R36" i="472"/>
  <c r="A36" i="472" s="1"/>
  <c r="R35" i="472"/>
  <c r="A35" i="472" s="1"/>
  <c r="R34" i="472"/>
  <c r="A34" i="472" s="1"/>
  <c r="R33" i="472"/>
  <c r="A33" i="472" s="1"/>
  <c r="R32" i="472"/>
  <c r="A32" i="472" s="1"/>
  <c r="R31" i="472"/>
  <c r="A31" i="472" s="1"/>
  <c r="R30" i="472"/>
  <c r="A30" i="472" s="1"/>
  <c r="R29" i="472"/>
  <c r="A29" i="472" s="1"/>
  <c r="R28" i="472"/>
  <c r="A28" i="472" s="1"/>
  <c r="R27" i="472"/>
  <c r="A27" i="472" s="1"/>
  <c r="R26" i="472"/>
  <c r="A26" i="472" s="1"/>
  <c r="R25" i="472"/>
  <c r="A25" i="472" s="1"/>
  <c r="R24" i="472"/>
  <c r="A24" i="472" s="1"/>
  <c r="R23" i="472"/>
  <c r="A23" i="472" s="1"/>
  <c r="R22" i="472"/>
  <c r="A22" i="472" s="1"/>
  <c r="R21" i="472"/>
  <c r="A21" i="472" s="1"/>
  <c r="R20" i="472"/>
  <c r="A20" i="472" s="1"/>
  <c r="R19" i="472"/>
  <c r="A19" i="472" s="1"/>
  <c r="R18" i="472"/>
  <c r="A18" i="472" s="1"/>
  <c r="R17" i="472"/>
  <c r="A17" i="472" s="1"/>
  <c r="R16" i="472"/>
  <c r="A16" i="472" s="1"/>
  <c r="R15" i="472"/>
  <c r="A15" i="472" s="1"/>
  <c r="R14" i="472"/>
  <c r="A14" i="472" s="1"/>
  <c r="R13" i="472"/>
  <c r="A13" i="472" s="1"/>
  <c r="R12" i="472"/>
  <c r="A12" i="472" s="1"/>
  <c r="R11" i="472"/>
  <c r="A11" i="472" s="1"/>
  <c r="R10" i="472"/>
  <c r="A10" i="472" s="1"/>
  <c r="R9" i="472"/>
  <c r="A9" i="472" s="1"/>
  <c r="R8" i="472"/>
  <c r="A8" i="472" s="1"/>
  <c r="R7" i="472"/>
  <c r="A7" i="472" s="1"/>
  <c r="R6" i="472"/>
  <c r="A6" i="472" s="1"/>
  <c r="R5" i="472"/>
  <c r="A5" i="472" s="1"/>
  <c r="R4" i="472"/>
  <c r="A4" i="472" s="1"/>
  <c r="R3" i="472"/>
  <c r="A3" i="472" s="1"/>
  <c r="R2" i="472"/>
  <c r="A2" i="472" s="1"/>
  <c r="D6" i="234" l="1"/>
  <c r="D4" i="234"/>
  <c r="D2" i="234"/>
  <c r="C6" i="234"/>
  <c r="C4" i="234"/>
  <c r="C2" i="234"/>
  <c r="B6" i="234"/>
  <c r="B4" i="234"/>
  <c r="B2" i="234"/>
  <c r="E5" i="234"/>
  <c r="E3" i="234"/>
  <c r="D5" i="234"/>
  <c r="D3" i="234"/>
  <c r="C5" i="234"/>
  <c r="C3" i="234"/>
  <c r="B5" i="234"/>
  <c r="B3" i="234"/>
  <c r="E6" i="234"/>
  <c r="E4" i="234"/>
  <c r="E2" i="234"/>
  <c r="D9" i="235"/>
  <c r="D7" i="235"/>
  <c r="D5" i="235"/>
  <c r="D3" i="235"/>
  <c r="C9" i="235"/>
  <c r="C7" i="235"/>
  <c r="C5" i="235"/>
  <c r="C3" i="235"/>
  <c r="B9" i="235"/>
  <c r="B7" i="235"/>
  <c r="B5" i="235"/>
  <c r="B3" i="235"/>
  <c r="E10" i="235"/>
  <c r="E8" i="235"/>
  <c r="E6" i="235"/>
  <c r="E4" i="235"/>
  <c r="E2" i="235"/>
  <c r="D10" i="235"/>
  <c r="D8" i="235"/>
  <c r="D6" i="235"/>
  <c r="D4" i="235"/>
  <c r="D2" i="235"/>
  <c r="C10" i="235"/>
  <c r="C8" i="235"/>
  <c r="C6" i="235"/>
  <c r="C4" i="235"/>
  <c r="C2" i="235"/>
  <c r="B10" i="235"/>
  <c r="B8" i="235"/>
  <c r="B6" i="235"/>
  <c r="B4" i="235"/>
  <c r="B2" i="235"/>
  <c r="E9" i="235"/>
  <c r="E7" i="235"/>
  <c r="E5" i="235"/>
  <c r="E3" i="235"/>
  <c r="AB21" i="480"/>
  <c r="A21" i="480"/>
  <c r="AB7" i="480"/>
  <c r="A7" i="480"/>
  <c r="AB18" i="480"/>
  <c r="A18" i="480"/>
  <c r="AB9" i="480"/>
  <c r="A9" i="480"/>
  <c r="AB17" i="480"/>
  <c r="A17" i="480"/>
  <c r="AB10" i="480"/>
  <c r="A10" i="480"/>
  <c r="AB23" i="480"/>
  <c r="A23" i="480"/>
  <c r="AB15" i="480"/>
  <c r="A15" i="480"/>
  <c r="AB22" i="480"/>
  <c r="A22" i="480"/>
  <c r="O14" i="474"/>
  <c r="A14" i="474" s="1"/>
  <c r="O6" i="474"/>
  <c r="A6" i="474" s="1"/>
  <c r="O16" i="474"/>
  <c r="A16" i="474" s="1"/>
  <c r="O8" i="474"/>
  <c r="A8" i="474" s="1"/>
  <c r="O23" i="474"/>
  <c r="A23" i="474" s="1"/>
  <c r="O15" i="474"/>
  <c r="A15" i="474" s="1"/>
  <c r="O7" i="474"/>
  <c r="A7" i="474" s="1"/>
  <c r="O21" i="474"/>
  <c r="A21" i="474" s="1"/>
  <c r="O13" i="474"/>
  <c r="A13" i="474" s="1"/>
  <c r="O5" i="474"/>
  <c r="A5" i="474" s="1"/>
  <c r="O20" i="474"/>
  <c r="A20" i="474" s="1"/>
  <c r="O4" i="474"/>
  <c r="A4" i="474" s="1"/>
  <c r="O3" i="474"/>
  <c r="A3" i="474" s="1"/>
  <c r="O2" i="474"/>
  <c r="A2" i="474" s="1"/>
  <c r="O18" i="474"/>
  <c r="A18" i="474" s="1"/>
  <c r="O10" i="474"/>
  <c r="A10" i="474" s="1"/>
  <c r="O24" i="474"/>
  <c r="A24" i="474" s="1"/>
  <c r="O25" i="474"/>
  <c r="A25" i="474" s="1"/>
  <c r="O17" i="474"/>
  <c r="A17" i="474" s="1"/>
  <c r="O9" i="474"/>
  <c r="A9" i="474" s="1"/>
  <c r="O22" i="474"/>
  <c r="A22" i="474" s="1"/>
  <c r="AB2" i="480"/>
  <c r="AB8" i="480"/>
  <c r="M9" i="479"/>
  <c r="AB6" i="480"/>
  <c r="AB3" i="480"/>
  <c r="AB16" i="480"/>
  <c r="M18" i="479"/>
  <c r="M17" i="479"/>
  <c r="AB14" i="480"/>
  <c r="M11" i="479"/>
  <c r="M10" i="479"/>
  <c r="AB13" i="480"/>
  <c r="AB5" i="480"/>
  <c r="AB20" i="480"/>
  <c r="AB12" i="480"/>
  <c r="AB4" i="480"/>
  <c r="M21" i="479"/>
  <c r="M5" i="479"/>
  <c r="AB19" i="480"/>
  <c r="AB11" i="480"/>
  <c r="M19" i="479"/>
  <c r="M3" i="479"/>
  <c r="A22" i="479"/>
  <c r="A14" i="479"/>
  <c r="M13" i="479"/>
  <c r="A6" i="479"/>
  <c r="M16" i="479"/>
  <c r="M8" i="479"/>
  <c r="M2" i="479"/>
  <c r="M15" i="479"/>
  <c r="M7" i="479"/>
  <c r="A20" i="479"/>
  <c r="A12" i="479"/>
  <c r="A4" i="479"/>
  <c r="B18" i="476"/>
  <c r="B17" i="476"/>
  <c r="O19" i="474"/>
  <c r="A19" i="474" s="1"/>
  <c r="O12" i="474"/>
  <c r="A12" i="474" s="1"/>
  <c r="O11" i="474"/>
  <c r="A11" i="474" s="1"/>
  <c r="D11" i="235" l="1"/>
  <c r="D3" i="233" s="1"/>
  <c r="C11" i="235"/>
  <c r="C3" i="233" s="1"/>
  <c r="C7" i="234"/>
  <c r="C2" i="233" s="1"/>
  <c r="E11" i="235"/>
  <c r="E3" i="233" s="1"/>
  <c r="B11" i="235"/>
  <c r="E7" i="234"/>
  <c r="E2" i="233" s="1"/>
  <c r="D7" i="234"/>
  <c r="D2" i="233" s="1"/>
  <c r="B7" i="234"/>
  <c r="B2" i="233" s="1"/>
  <c r="B19" i="476"/>
  <c r="B25" i="476" s="1"/>
  <c r="B26" i="476" s="1"/>
  <c r="B3" i="233" l="1"/>
  <c r="B4" i="233" s="1"/>
  <c r="E4" i="233"/>
  <c r="D4" i="233"/>
  <c r="C4" i="233"/>
  <c r="H6" i="471"/>
  <c r="A6" i="471" s="1"/>
  <c r="H7" i="471"/>
  <c r="A7" i="471" s="1"/>
  <c r="H8" i="471"/>
  <c r="A8" i="471" s="1"/>
  <c r="H9" i="471"/>
  <c r="A9" i="471" s="1"/>
  <c r="H10" i="471"/>
  <c r="A10" i="471" s="1"/>
  <c r="H11" i="471"/>
  <c r="A11" i="471" s="1"/>
  <c r="H12" i="471"/>
  <c r="A12" i="471" s="1"/>
  <c r="H13" i="471"/>
  <c r="A13" i="471" s="1"/>
  <c r="H14" i="471"/>
  <c r="A14" i="471" s="1"/>
  <c r="H15" i="471"/>
  <c r="A15" i="471" s="1"/>
  <c r="H16" i="471"/>
  <c r="A16" i="471" s="1"/>
  <c r="H17" i="471"/>
  <c r="A17" i="471" s="1"/>
  <c r="H18" i="471"/>
  <c r="A18" i="471" s="1"/>
  <c r="H19" i="471"/>
  <c r="A19" i="471" s="1"/>
  <c r="H20" i="471"/>
  <c r="A20" i="471" s="1"/>
  <c r="H21" i="471"/>
  <c r="A21" i="471" s="1"/>
  <c r="H22" i="471"/>
  <c r="A22" i="471" s="1"/>
  <c r="H23" i="471"/>
  <c r="A23" i="471" s="1"/>
  <c r="H5" i="471"/>
  <c r="A5" i="471" s="1"/>
  <c r="H4" i="471"/>
  <c r="A4" i="471" s="1"/>
  <c r="H3" i="471"/>
  <c r="A3" i="471" s="1"/>
  <c r="H2" i="471"/>
  <c r="A2" i="471" s="1"/>
  <c r="C3" i="179"/>
  <c r="C4" i="179"/>
  <c r="C5" i="179"/>
  <c r="C6" i="179"/>
  <c r="C7" i="179"/>
  <c r="C8" i="179"/>
  <c r="C9" i="179"/>
  <c r="C10" i="179"/>
  <c r="C11" i="179"/>
  <c r="C2" i="179"/>
  <c r="B3" i="179"/>
  <c r="B4" i="179"/>
  <c r="B5" i="179"/>
  <c r="B6" i="179"/>
  <c r="B7" i="179"/>
  <c r="B8" i="179"/>
  <c r="B9" i="179"/>
  <c r="B10" i="179"/>
  <c r="B11" i="179"/>
  <c r="B2" i="179"/>
  <c r="A5" i="179"/>
  <c r="A6" i="179"/>
  <c r="A7" i="179"/>
  <c r="A8" i="179"/>
  <c r="A9" i="179"/>
  <c r="A10" i="179"/>
  <c r="A11" i="179"/>
  <c r="A3" i="179"/>
  <c r="A4" i="179"/>
  <c r="A2" i="179"/>
  <c r="K3" i="470"/>
  <c r="K4" i="470"/>
  <c r="K5" i="470"/>
  <c r="K6" i="470"/>
  <c r="K7" i="470"/>
  <c r="K8" i="470"/>
  <c r="K9" i="470"/>
  <c r="K2" i="470"/>
  <c r="I3" i="470"/>
  <c r="I4" i="470"/>
  <c r="I5" i="470"/>
  <c r="I6" i="470"/>
  <c r="I7" i="470"/>
  <c r="I8" i="470"/>
  <c r="L8" i="470" s="1"/>
  <c r="I9" i="470"/>
  <c r="I2" i="470"/>
  <c r="G3" i="470"/>
  <c r="G4" i="470"/>
  <c r="G5" i="470"/>
  <c r="G6" i="470"/>
  <c r="G7" i="470"/>
  <c r="G8" i="470"/>
  <c r="G9" i="470"/>
  <c r="G2" i="470"/>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3" i="438"/>
  <c r="A4" i="438"/>
  <c r="A5" i="438"/>
  <c r="A6" i="438"/>
  <c r="A7" i="438"/>
  <c r="A8" i="438"/>
  <c r="A9" i="438"/>
  <c r="A10" i="438"/>
  <c r="A11" i="438"/>
  <c r="A12" i="438"/>
  <c r="A13" i="438"/>
  <c r="A14" i="438"/>
  <c r="A15" i="438"/>
  <c r="A16" i="438"/>
  <c r="A17" i="438"/>
  <c r="A18" i="438"/>
  <c r="A19" i="438"/>
  <c r="A20" i="438"/>
  <c r="A21" i="438"/>
  <c r="A2" i="438"/>
  <c r="A10" i="441"/>
  <c r="A11" i="441"/>
  <c r="A12" i="441"/>
  <c r="A13" i="441"/>
  <c r="A14" i="441"/>
  <c r="A15" i="441"/>
  <c r="A16" i="441"/>
  <c r="A3" i="441"/>
  <c r="A4" i="441"/>
  <c r="A5" i="441"/>
  <c r="A6" i="441"/>
  <c r="A7" i="441"/>
  <c r="A8" i="441"/>
  <c r="A9" i="441"/>
  <c r="A2" i="441"/>
  <c r="A10" i="442"/>
  <c r="A11" i="442"/>
  <c r="A12" i="442"/>
  <c r="A13" i="442"/>
  <c r="A14" i="442"/>
  <c r="A15" i="442"/>
  <c r="A16" i="442"/>
  <c r="A3" i="442"/>
  <c r="A4" i="442"/>
  <c r="A5" i="442"/>
  <c r="A6" i="442"/>
  <c r="A7" i="442"/>
  <c r="A8" i="442"/>
  <c r="A9" i="442"/>
  <c r="A2" i="442"/>
  <c r="A3" i="446"/>
  <c r="A4" i="446"/>
  <c r="A5" i="446"/>
  <c r="A6" i="446"/>
  <c r="A7" i="446"/>
  <c r="A8" i="446"/>
  <c r="A9" i="446"/>
  <c r="A10" i="446"/>
  <c r="A11" i="446"/>
  <c r="A12" i="446"/>
  <c r="A13" i="446"/>
  <c r="A14" i="446"/>
  <c r="A15" i="446"/>
  <c r="A16" i="446"/>
  <c r="A17" i="446"/>
  <c r="A18" i="446"/>
  <c r="A2" i="446"/>
  <c r="A3" i="451"/>
  <c r="A4" i="451"/>
  <c r="A5" i="451"/>
  <c r="A6" i="451"/>
  <c r="A7" i="451"/>
  <c r="A8" i="451"/>
  <c r="A9" i="451"/>
  <c r="A10" i="451"/>
  <c r="A11" i="451"/>
  <c r="A12" i="451"/>
  <c r="A13" i="451"/>
  <c r="A14" i="451"/>
  <c r="A15" i="451"/>
  <c r="A16" i="451"/>
  <c r="A17" i="451"/>
  <c r="A18" i="451"/>
  <c r="A2" i="451"/>
  <c r="A3" i="455"/>
  <c r="A4" i="455"/>
  <c r="A5" i="455"/>
  <c r="A6" i="455"/>
  <c r="A7" i="455"/>
  <c r="A8" i="455"/>
  <c r="A9" i="455"/>
  <c r="A10" i="455"/>
  <c r="A11" i="455"/>
  <c r="A12" i="455"/>
  <c r="A13" i="455"/>
  <c r="A14" i="455"/>
  <c r="A15" i="455"/>
  <c r="A16" i="455"/>
  <c r="A17" i="455"/>
  <c r="A18" i="455"/>
  <c r="A2" i="455"/>
  <c r="A3" i="456"/>
  <c r="A4" i="456"/>
  <c r="A5" i="456"/>
  <c r="A6" i="456"/>
  <c r="A7" i="456"/>
  <c r="A8" i="456"/>
  <c r="A9" i="456"/>
  <c r="A10" i="456"/>
  <c r="A11" i="456"/>
  <c r="A12" i="456"/>
  <c r="A13" i="456"/>
  <c r="A14" i="456"/>
  <c r="A15" i="456"/>
  <c r="A16" i="456"/>
  <c r="A17" i="456"/>
  <c r="A18" i="456"/>
  <c r="A19" i="456"/>
  <c r="A20" i="456"/>
  <c r="A21" i="456"/>
  <c r="A22" i="456"/>
  <c r="A23" i="456"/>
  <c r="A24" i="456"/>
  <c r="A25" i="456"/>
  <c r="A26" i="456"/>
  <c r="A2" i="456"/>
  <c r="A3" i="460"/>
  <c r="A4" i="460"/>
  <c r="A5" i="460"/>
  <c r="A6" i="460"/>
  <c r="A7" i="460"/>
  <c r="A8" i="460"/>
  <c r="A9" i="460"/>
  <c r="A10" i="460"/>
  <c r="A11" i="460"/>
  <c r="A12" i="460"/>
  <c r="A13" i="460"/>
  <c r="A14" i="460"/>
  <c r="A15" i="460"/>
  <c r="A16" i="460"/>
  <c r="A17" i="460"/>
  <c r="A18" i="460"/>
  <c r="A19" i="460"/>
  <c r="A20" i="460"/>
  <c r="A21" i="460"/>
  <c r="A22" i="460"/>
  <c r="A23" i="460"/>
  <c r="A24" i="460"/>
  <c r="A25" i="460"/>
  <c r="A26" i="460"/>
  <c r="A27" i="460"/>
  <c r="A28" i="460"/>
  <c r="A2" i="460"/>
  <c r="A3" i="461"/>
  <c r="A4" i="461"/>
  <c r="A5" i="461"/>
  <c r="A6" i="461"/>
  <c r="A7" i="461"/>
  <c r="A8" i="461"/>
  <c r="A9" i="461"/>
  <c r="A10" i="461"/>
  <c r="A11" i="461"/>
  <c r="A12" i="461"/>
  <c r="A13" i="461"/>
  <c r="A14" i="461"/>
  <c r="A15" i="461"/>
  <c r="A16" i="461"/>
  <c r="A17" i="461"/>
  <c r="A18" i="461"/>
  <c r="A19" i="461"/>
  <c r="A20" i="461"/>
  <c r="A21" i="461"/>
  <c r="A2" i="461"/>
  <c r="A3" i="462"/>
  <c r="A4" i="462"/>
  <c r="A5" i="462"/>
  <c r="A6" i="462"/>
  <c r="A7" i="462"/>
  <c r="A8" i="462"/>
  <c r="A9" i="462"/>
  <c r="A10" i="462"/>
  <c r="A11" i="462"/>
  <c r="A12" i="462"/>
  <c r="A13" i="462"/>
  <c r="A14" i="462"/>
  <c r="A15" i="462"/>
  <c r="A16" i="462"/>
  <c r="A17" i="462"/>
  <c r="A18" i="462"/>
  <c r="A19" i="462"/>
  <c r="A20" i="462"/>
  <c r="A21" i="462"/>
  <c r="A2" i="462"/>
  <c r="A3" i="463"/>
  <c r="A4" i="463"/>
  <c r="A5" i="463"/>
  <c r="A6" i="463"/>
  <c r="A7" i="463"/>
  <c r="A8" i="463"/>
  <c r="A9" i="463"/>
  <c r="A10" i="463"/>
  <c r="A11" i="463"/>
  <c r="A12" i="463"/>
  <c r="A13" i="463"/>
  <c r="A14" i="463"/>
  <c r="A15" i="463"/>
  <c r="A16" i="463"/>
  <c r="A17" i="463"/>
  <c r="A18" i="463"/>
  <c r="A19" i="463"/>
  <c r="A20" i="463"/>
  <c r="A21" i="463"/>
  <c r="A22" i="463"/>
  <c r="A23" i="463"/>
  <c r="A24" i="463"/>
  <c r="A25" i="463"/>
  <c r="A26" i="463"/>
  <c r="A27" i="463"/>
  <c r="A28" i="463"/>
  <c r="A2" i="463"/>
  <c r="A3" i="464"/>
  <c r="A4" i="464"/>
  <c r="A5" i="464"/>
  <c r="A6" i="464"/>
  <c r="A7" i="464"/>
  <c r="A8" i="464"/>
  <c r="A9" i="464"/>
  <c r="A10" i="464"/>
  <c r="A11" i="464"/>
  <c r="A12" i="464"/>
  <c r="A13" i="464"/>
  <c r="A14" i="464"/>
  <c r="A15" i="464"/>
  <c r="A16" i="464"/>
  <c r="A17" i="464"/>
  <c r="A18" i="464"/>
  <c r="A19" i="464"/>
  <c r="A20" i="464"/>
  <c r="A21" i="464"/>
  <c r="A22" i="464"/>
  <c r="A23" i="464"/>
  <c r="A24" i="464"/>
  <c r="A25" i="464"/>
  <c r="A26" i="464"/>
  <c r="A27" i="464"/>
  <c r="A28" i="464"/>
  <c r="A2" i="464"/>
  <c r="A3" i="467"/>
  <c r="A4" i="467"/>
  <c r="A5" i="467"/>
  <c r="A6" i="467"/>
  <c r="A7" i="467"/>
  <c r="A8" i="467"/>
  <c r="A9" i="467"/>
  <c r="A10" i="467"/>
  <c r="A11" i="467"/>
  <c r="A12" i="467"/>
  <c r="A13" i="467"/>
  <c r="A14" i="467"/>
  <c r="A15" i="467"/>
  <c r="A16" i="467"/>
  <c r="A17" i="467"/>
  <c r="A18" i="467"/>
  <c r="A19" i="467"/>
  <c r="A20" i="467"/>
  <c r="A21" i="467"/>
  <c r="A22" i="467"/>
  <c r="A23" i="467"/>
  <c r="A24" i="467"/>
  <c r="A25" i="467"/>
  <c r="A26" i="467"/>
  <c r="A2" i="467"/>
  <c r="F4" i="469"/>
  <c r="J4" i="469"/>
  <c r="K4" i="469"/>
  <c r="F5" i="469"/>
  <c r="J5" i="469"/>
  <c r="K5" i="469"/>
  <c r="F6" i="469"/>
  <c r="J6" i="469"/>
  <c r="K6" i="469"/>
  <c r="F7" i="469"/>
  <c r="J7" i="469"/>
  <c r="K7" i="469"/>
  <c r="F8" i="469"/>
  <c r="J8" i="469"/>
  <c r="K8" i="469"/>
  <c r="F9" i="469"/>
  <c r="A9" i="469" s="1"/>
  <c r="J9" i="469"/>
  <c r="K9" i="469"/>
  <c r="F10" i="469"/>
  <c r="J10" i="469"/>
  <c r="K10" i="469"/>
  <c r="F11" i="469"/>
  <c r="A11" i="469" s="1"/>
  <c r="J11" i="469"/>
  <c r="K11" i="469"/>
  <c r="F12" i="469"/>
  <c r="J12" i="469"/>
  <c r="K12" i="469"/>
  <c r="F13" i="469"/>
  <c r="A13" i="469" s="1"/>
  <c r="J13" i="469"/>
  <c r="K13" i="469"/>
  <c r="F14" i="469"/>
  <c r="J14" i="469"/>
  <c r="K14" i="469"/>
  <c r="K3" i="469"/>
  <c r="K2" i="469"/>
  <c r="J3" i="469"/>
  <c r="J2" i="469"/>
  <c r="F3" i="469"/>
  <c r="A3" i="469" s="1"/>
  <c r="F2" i="469"/>
  <c r="B2" i="172"/>
  <c r="C2" i="172"/>
  <c r="D2" i="172"/>
  <c r="E2" i="172"/>
  <c r="F2" i="172"/>
  <c r="G2" i="172"/>
  <c r="B3" i="172"/>
  <c r="C3" i="172"/>
  <c r="D3" i="172"/>
  <c r="E3" i="172"/>
  <c r="F3" i="172"/>
  <c r="G3" i="172"/>
  <c r="B4" i="172"/>
  <c r="C4" i="172"/>
  <c r="D4" i="172"/>
  <c r="E4" i="172"/>
  <c r="F4" i="172"/>
  <c r="G4" i="172"/>
  <c r="B5" i="172"/>
  <c r="C5" i="172"/>
  <c r="D5" i="172"/>
  <c r="E5" i="172"/>
  <c r="F5" i="172"/>
  <c r="G5" i="172"/>
  <c r="A3" i="172"/>
  <c r="A4" i="172"/>
  <c r="A5" i="172"/>
  <c r="A2" i="172"/>
  <c r="I3" i="468"/>
  <c r="A3" i="468" s="1"/>
  <c r="I4" i="468"/>
  <c r="A4" i="468" s="1"/>
  <c r="I5" i="468"/>
  <c r="A5" i="468" s="1"/>
  <c r="I6" i="468"/>
  <c r="A6" i="468" s="1"/>
  <c r="I7" i="468"/>
  <c r="A7" i="468" s="1"/>
  <c r="I8" i="468"/>
  <c r="A8" i="468" s="1"/>
  <c r="I9" i="468"/>
  <c r="A9" i="468" s="1"/>
  <c r="I10" i="468"/>
  <c r="A10" i="468" s="1"/>
  <c r="I11" i="468"/>
  <c r="I2" i="468"/>
  <c r="A2" i="468" s="1"/>
  <c r="A4" i="171"/>
  <c r="C3" i="171"/>
  <c r="C4" i="171"/>
  <c r="C2" i="171"/>
  <c r="A3" i="171"/>
  <c r="A2" i="171"/>
  <c r="I10" i="467"/>
  <c r="I11" i="467"/>
  <c r="I12" i="467"/>
  <c r="I13" i="467"/>
  <c r="I14" i="467"/>
  <c r="I15" i="467"/>
  <c r="I16" i="467"/>
  <c r="I17" i="467"/>
  <c r="I18" i="467"/>
  <c r="I19" i="467"/>
  <c r="I20" i="467"/>
  <c r="I21" i="467"/>
  <c r="I22" i="467"/>
  <c r="I23" i="467"/>
  <c r="I24" i="467"/>
  <c r="I25" i="467"/>
  <c r="I26" i="467"/>
  <c r="I3" i="467"/>
  <c r="B3" i="171" s="1"/>
  <c r="I4" i="467"/>
  <c r="B4" i="171" s="1"/>
  <c r="I5" i="467"/>
  <c r="I6" i="467"/>
  <c r="I7" i="467"/>
  <c r="I8" i="467"/>
  <c r="I9" i="467"/>
  <c r="I2" i="467"/>
  <c r="B2" i="171" s="1"/>
  <c r="M3" i="466"/>
  <c r="M4" i="466"/>
  <c r="M5" i="466"/>
  <c r="M6" i="466"/>
  <c r="M7" i="466"/>
  <c r="M8" i="466"/>
  <c r="M9" i="466"/>
  <c r="M10" i="466"/>
  <c r="M11" i="466"/>
  <c r="M12" i="466"/>
  <c r="M13" i="466"/>
  <c r="M14" i="466"/>
  <c r="M15" i="466"/>
  <c r="M16" i="466"/>
  <c r="M2" i="466"/>
  <c r="G3" i="466"/>
  <c r="A3" i="466" s="1"/>
  <c r="G4" i="466"/>
  <c r="A4" i="466" s="1"/>
  <c r="G5" i="466"/>
  <c r="A5" i="466" s="1"/>
  <c r="G6" i="466"/>
  <c r="A6" i="466" s="1"/>
  <c r="G7" i="466"/>
  <c r="A7" i="466" s="1"/>
  <c r="G8" i="466"/>
  <c r="A8" i="466" s="1"/>
  <c r="G9" i="466"/>
  <c r="A9" i="466" s="1"/>
  <c r="G10" i="466"/>
  <c r="A10" i="466" s="1"/>
  <c r="G11" i="466"/>
  <c r="A11" i="466" s="1"/>
  <c r="G12" i="466"/>
  <c r="A12" i="466" s="1"/>
  <c r="G13" i="466"/>
  <c r="A13" i="466" s="1"/>
  <c r="G14" i="466"/>
  <c r="A14" i="466" s="1"/>
  <c r="G15" i="466"/>
  <c r="A15" i="466" s="1"/>
  <c r="G16" i="466"/>
  <c r="A16" i="466" s="1"/>
  <c r="G2" i="466"/>
  <c r="A2" i="466" s="1"/>
  <c r="L3" i="466"/>
  <c r="L4" i="466"/>
  <c r="L5" i="466"/>
  <c r="L6" i="466"/>
  <c r="L7" i="466"/>
  <c r="L8" i="466"/>
  <c r="L9" i="466"/>
  <c r="L10" i="466"/>
  <c r="L11" i="466"/>
  <c r="L12" i="466"/>
  <c r="L13" i="466"/>
  <c r="L14" i="466"/>
  <c r="L15" i="466"/>
  <c r="L16" i="466"/>
  <c r="L2" i="466"/>
  <c r="C3" i="165"/>
  <c r="C4" i="165"/>
  <c r="C5" i="165"/>
  <c r="C6" i="165"/>
  <c r="C7" i="165"/>
  <c r="C8" i="165"/>
  <c r="C9" i="165"/>
  <c r="C10" i="165"/>
  <c r="C11" i="165"/>
  <c r="C12" i="165"/>
  <c r="C2" i="165"/>
  <c r="B3" i="165"/>
  <c r="B4" i="165"/>
  <c r="B5" i="165"/>
  <c r="B6" i="165"/>
  <c r="B7" i="165"/>
  <c r="B8" i="165"/>
  <c r="B9" i="165"/>
  <c r="B10" i="165"/>
  <c r="B11" i="165"/>
  <c r="B12" i="165"/>
  <c r="B2" i="165"/>
  <c r="A3" i="165"/>
  <c r="A4" i="165"/>
  <c r="A5" i="165"/>
  <c r="A6" i="165"/>
  <c r="A7" i="165"/>
  <c r="A8" i="165"/>
  <c r="A9" i="165"/>
  <c r="A10" i="165"/>
  <c r="A11" i="165"/>
  <c r="A12" i="165"/>
  <c r="A2" i="165"/>
  <c r="T3" i="465"/>
  <c r="T4" i="465"/>
  <c r="T5" i="465"/>
  <c r="T6" i="465"/>
  <c r="T7" i="465"/>
  <c r="T8" i="465"/>
  <c r="T9" i="465"/>
  <c r="T10" i="465"/>
  <c r="T11" i="465"/>
  <c r="T12" i="465"/>
  <c r="T13" i="465"/>
  <c r="T14" i="465"/>
  <c r="T15" i="465"/>
  <c r="T16" i="465"/>
  <c r="T17" i="465"/>
  <c r="T18" i="465"/>
  <c r="T2" i="465"/>
  <c r="Y3" i="465"/>
  <c r="Y4" i="465"/>
  <c r="Y5" i="465"/>
  <c r="Y6" i="465"/>
  <c r="Y7" i="465"/>
  <c r="Y8" i="465"/>
  <c r="Y9" i="465"/>
  <c r="Y10" i="465"/>
  <c r="Y11" i="465"/>
  <c r="Y12" i="465"/>
  <c r="Y13" i="465"/>
  <c r="Y14" i="465"/>
  <c r="Y15" i="465"/>
  <c r="Y16" i="465"/>
  <c r="Y17" i="465"/>
  <c r="Y18" i="465"/>
  <c r="Y2" i="465"/>
  <c r="N3" i="465"/>
  <c r="N4" i="465"/>
  <c r="N5" i="465"/>
  <c r="N6" i="465"/>
  <c r="N7" i="465"/>
  <c r="N8" i="465"/>
  <c r="N9" i="465"/>
  <c r="N10" i="465"/>
  <c r="N11" i="465"/>
  <c r="N12" i="465"/>
  <c r="N13" i="465"/>
  <c r="N14" i="465"/>
  <c r="N15" i="465"/>
  <c r="N16" i="465"/>
  <c r="N17" i="465"/>
  <c r="N18" i="465"/>
  <c r="N2" i="465"/>
  <c r="H3" i="465"/>
  <c r="H4" i="465"/>
  <c r="H5" i="465"/>
  <c r="H6" i="465"/>
  <c r="H7" i="465"/>
  <c r="H8" i="465"/>
  <c r="H9" i="465"/>
  <c r="H10" i="465"/>
  <c r="H11" i="465"/>
  <c r="H12" i="465"/>
  <c r="H13" i="465"/>
  <c r="H14" i="465"/>
  <c r="H15" i="465"/>
  <c r="H16" i="465"/>
  <c r="H17" i="465"/>
  <c r="H18" i="465"/>
  <c r="H2" i="465"/>
  <c r="G28" i="464"/>
  <c r="G27" i="464"/>
  <c r="G26" i="464"/>
  <c r="G25" i="464"/>
  <c r="G24" i="464"/>
  <c r="G23" i="464"/>
  <c r="G22" i="464"/>
  <c r="G21" i="464"/>
  <c r="G20" i="464"/>
  <c r="G19" i="464"/>
  <c r="G18" i="464"/>
  <c r="G17" i="464"/>
  <c r="G16" i="464"/>
  <c r="G15" i="464"/>
  <c r="G14" i="464"/>
  <c r="G13" i="464"/>
  <c r="G12" i="464"/>
  <c r="G11" i="464"/>
  <c r="G10" i="464"/>
  <c r="G9" i="464"/>
  <c r="G8" i="464"/>
  <c r="G7" i="464"/>
  <c r="G6" i="464"/>
  <c r="G5" i="464"/>
  <c r="G4" i="464"/>
  <c r="G3" i="464"/>
  <c r="G2" i="464"/>
  <c r="I28" i="463"/>
  <c r="I27" i="463"/>
  <c r="I26" i="463"/>
  <c r="I25" i="463"/>
  <c r="I24" i="463"/>
  <c r="I23" i="463"/>
  <c r="I22" i="463"/>
  <c r="I21" i="463"/>
  <c r="I20" i="463"/>
  <c r="I19" i="463"/>
  <c r="I18" i="463"/>
  <c r="I17" i="463"/>
  <c r="I16" i="463"/>
  <c r="I15" i="463"/>
  <c r="I14" i="463"/>
  <c r="I13" i="463"/>
  <c r="I12" i="463"/>
  <c r="I11" i="463"/>
  <c r="I10" i="463"/>
  <c r="I9" i="463"/>
  <c r="I8" i="463"/>
  <c r="I7" i="463"/>
  <c r="I6" i="463"/>
  <c r="I5" i="463"/>
  <c r="I4" i="463"/>
  <c r="I3" i="463"/>
  <c r="I2" i="463"/>
  <c r="G21" i="462"/>
  <c r="G20" i="462"/>
  <c r="G19" i="462"/>
  <c r="G18" i="462"/>
  <c r="G17" i="462"/>
  <c r="G16" i="462"/>
  <c r="G15" i="462"/>
  <c r="G14" i="462"/>
  <c r="G13" i="462"/>
  <c r="G12" i="462"/>
  <c r="G11" i="462"/>
  <c r="G10" i="462"/>
  <c r="G9" i="462"/>
  <c r="G8" i="462"/>
  <c r="G7" i="462"/>
  <c r="G6" i="462"/>
  <c r="G5" i="462"/>
  <c r="G4" i="462"/>
  <c r="G3" i="462"/>
  <c r="G2" i="462"/>
  <c r="F8" i="510" l="1"/>
  <c r="F9" i="510" s="1"/>
  <c r="E9" i="510"/>
  <c r="O15" i="465"/>
  <c r="O18" i="465"/>
  <c r="O10" i="465"/>
  <c r="L7" i="470"/>
  <c r="M7" i="470" s="1"/>
  <c r="A7" i="470" s="1"/>
  <c r="L6" i="469"/>
  <c r="M8" i="470"/>
  <c r="A8" i="470" s="1"/>
  <c r="L8" i="469"/>
  <c r="L10" i="469"/>
  <c r="L9" i="469"/>
  <c r="L9" i="470"/>
  <c r="M9" i="470" s="1"/>
  <c r="A9" i="470" s="1"/>
  <c r="L6" i="470"/>
  <c r="M6" i="470" s="1"/>
  <c r="A6" i="470" s="1"/>
  <c r="L5" i="470"/>
  <c r="M5" i="470" s="1"/>
  <c r="A5" i="470" s="1"/>
  <c r="L13" i="469"/>
  <c r="L4" i="470"/>
  <c r="M4" i="470" s="1"/>
  <c r="A4" i="470" s="1"/>
  <c r="L11" i="469"/>
  <c r="A10" i="469"/>
  <c r="L3" i="470"/>
  <c r="M3" i="470" s="1"/>
  <c r="A3" i="470" s="1"/>
  <c r="A8" i="469"/>
  <c r="L2" i="470"/>
  <c r="M2" i="470" s="1"/>
  <c r="A2" i="470" s="1"/>
  <c r="L12" i="469"/>
  <c r="A12" i="469"/>
  <c r="L5" i="469"/>
  <c r="A5" i="469"/>
  <c r="L2" i="469"/>
  <c r="A2" i="469"/>
  <c r="L4" i="469"/>
  <c r="A4" i="469"/>
  <c r="L3" i="469"/>
  <c r="L14" i="469"/>
  <c r="L7" i="469"/>
  <c r="A7" i="469"/>
  <c r="A14" i="469"/>
  <c r="A6" i="469"/>
  <c r="N9" i="466"/>
  <c r="O16" i="465"/>
  <c r="O8" i="465"/>
  <c r="N2" i="466"/>
  <c r="N13" i="466"/>
  <c r="N10" i="466"/>
  <c r="N11" i="466"/>
  <c r="N3" i="466"/>
  <c r="N14" i="466"/>
  <c r="N6" i="466"/>
  <c r="N16" i="466"/>
  <c r="N8" i="466"/>
  <c r="N5" i="466"/>
  <c r="N15" i="466"/>
  <c r="N7" i="466"/>
  <c r="N12" i="466"/>
  <c r="N4" i="466"/>
  <c r="O12" i="465"/>
  <c r="O4" i="465"/>
  <c r="O2" i="465"/>
  <c r="O11" i="465"/>
  <c r="O3" i="465"/>
  <c r="O17" i="465"/>
  <c r="O9" i="465"/>
  <c r="O7" i="465"/>
  <c r="O13" i="465"/>
  <c r="O5" i="465"/>
  <c r="O14" i="465"/>
  <c r="O6" i="465"/>
  <c r="B8" i="163" l="1"/>
  <c r="A8" i="163" s="1"/>
  <c r="B2" i="163"/>
  <c r="B13" i="163"/>
  <c r="A13" i="163" s="1"/>
  <c r="B7" i="163"/>
  <c r="A7" i="163" s="1"/>
  <c r="B12" i="163"/>
  <c r="A12" i="163" s="1"/>
  <c r="B6" i="163"/>
  <c r="A6" i="163" s="1"/>
  <c r="B11" i="163"/>
  <c r="A11" i="163" s="1"/>
  <c r="B15" i="163"/>
  <c r="B10" i="163"/>
  <c r="A10" i="163" s="1"/>
  <c r="B5" i="163"/>
  <c r="A5" i="163" s="1"/>
  <c r="B14" i="163"/>
  <c r="B4" i="163"/>
  <c r="A4" i="163" s="1"/>
  <c r="B9" i="163"/>
  <c r="A9" i="163" s="1"/>
  <c r="B3" i="163"/>
  <c r="A14" i="465"/>
  <c r="P14" i="465"/>
  <c r="A17" i="465"/>
  <c r="P17" i="465"/>
  <c r="A6" i="465"/>
  <c r="P6" i="465"/>
  <c r="A8" i="465"/>
  <c r="P8" i="465"/>
  <c r="A11" i="465"/>
  <c r="P11" i="465"/>
  <c r="A2" i="465"/>
  <c r="G7" i="164"/>
  <c r="A7" i="164" s="1"/>
  <c r="G6" i="164"/>
  <c r="A6" i="164" s="1"/>
  <c r="G3" i="164"/>
  <c r="A3" i="164" s="1"/>
  <c r="G9" i="164"/>
  <c r="A9" i="164" s="1"/>
  <c r="G2" i="164"/>
  <c r="A2" i="164" s="1"/>
  <c r="G8" i="164"/>
  <c r="A8" i="164" s="1"/>
  <c r="G5" i="164"/>
  <c r="A5" i="164" s="1"/>
  <c r="P2" i="465"/>
  <c r="G4" i="164"/>
  <c r="A4" i="164" s="1"/>
  <c r="A13" i="465"/>
  <c r="P13" i="465"/>
  <c r="A16" i="465"/>
  <c r="P16" i="465"/>
  <c r="A10" i="465"/>
  <c r="P10" i="465"/>
  <c r="A3" i="465"/>
  <c r="P3" i="465"/>
  <c r="A5" i="465"/>
  <c r="P5" i="465"/>
  <c r="A7" i="465"/>
  <c r="P7" i="465"/>
  <c r="A18" i="465"/>
  <c r="P18" i="465"/>
  <c r="A4" i="465"/>
  <c r="P4" i="465"/>
  <c r="A12" i="465"/>
  <c r="P12" i="465"/>
  <c r="A9" i="465"/>
  <c r="P9" i="465"/>
  <c r="A15" i="465"/>
  <c r="P15" i="465"/>
  <c r="G5" i="461"/>
  <c r="G6" i="461"/>
  <c r="G7" i="461"/>
  <c r="G8" i="461"/>
  <c r="G9" i="461"/>
  <c r="G10" i="461"/>
  <c r="G11" i="461"/>
  <c r="G12" i="461"/>
  <c r="G13" i="461"/>
  <c r="G14" i="461"/>
  <c r="G15" i="461"/>
  <c r="G16" i="461"/>
  <c r="G17" i="461"/>
  <c r="G18" i="461"/>
  <c r="G19" i="461"/>
  <c r="G20" i="461"/>
  <c r="G21" i="461"/>
  <c r="A2" i="411"/>
  <c r="G4" i="461"/>
  <c r="G3" i="461"/>
  <c r="G2" i="461"/>
  <c r="I3" i="460"/>
  <c r="I4" i="460"/>
  <c r="I5" i="460"/>
  <c r="I6" i="460"/>
  <c r="I7" i="460"/>
  <c r="I8" i="460"/>
  <c r="I9" i="460"/>
  <c r="I10" i="460"/>
  <c r="I11" i="460"/>
  <c r="I12" i="460"/>
  <c r="I13" i="460"/>
  <c r="I14" i="460"/>
  <c r="I15" i="460"/>
  <c r="I16" i="460"/>
  <c r="I17" i="460"/>
  <c r="I18" i="460"/>
  <c r="I19" i="460"/>
  <c r="I20" i="460"/>
  <c r="I21" i="460"/>
  <c r="I22" i="460"/>
  <c r="I23" i="460"/>
  <c r="I24" i="460"/>
  <c r="I25" i="460"/>
  <c r="I26" i="460"/>
  <c r="I27" i="460"/>
  <c r="I28" i="460"/>
  <c r="I2" i="460"/>
  <c r="I3" i="459"/>
  <c r="A3" i="459" s="1"/>
  <c r="I4" i="459"/>
  <c r="A4" i="459" s="1"/>
  <c r="I5" i="459"/>
  <c r="A5" i="459" s="1"/>
  <c r="I6" i="459"/>
  <c r="A6" i="459" s="1"/>
  <c r="I7" i="459"/>
  <c r="A7" i="459" s="1"/>
  <c r="I8" i="459"/>
  <c r="A8" i="459" s="1"/>
  <c r="I9" i="459"/>
  <c r="A9" i="459" s="1"/>
  <c r="I10" i="459"/>
  <c r="A10" i="459" s="1"/>
  <c r="I11" i="459"/>
  <c r="A11" i="459" s="1"/>
  <c r="I12" i="459"/>
  <c r="A12" i="459" s="1"/>
  <c r="I13" i="459"/>
  <c r="A13" i="459" s="1"/>
  <c r="I14" i="459"/>
  <c r="A14" i="459" s="1"/>
  <c r="I15" i="459"/>
  <c r="A15" i="459" s="1"/>
  <c r="I16" i="459"/>
  <c r="A16" i="459" s="1"/>
  <c r="I17" i="459"/>
  <c r="A17" i="459" s="1"/>
  <c r="I18" i="459"/>
  <c r="A18" i="459" s="1"/>
  <c r="I19" i="459"/>
  <c r="A19" i="459" s="1"/>
  <c r="I2" i="459"/>
  <c r="A2" i="459" s="1"/>
  <c r="M9" i="164" l="1"/>
  <c r="K9" i="164"/>
  <c r="J9" i="164"/>
  <c r="E9" i="164"/>
  <c r="F9" i="164" s="1"/>
  <c r="D9" i="164"/>
  <c r="C9" i="164"/>
  <c r="B9" i="164"/>
  <c r="H9" i="164"/>
  <c r="I9" i="164" s="1"/>
  <c r="M3" i="164"/>
  <c r="K3" i="164"/>
  <c r="J3" i="164"/>
  <c r="E3" i="164"/>
  <c r="F3" i="164" s="1"/>
  <c r="D3" i="164"/>
  <c r="C3" i="164"/>
  <c r="B3" i="164"/>
  <c r="H3" i="164"/>
  <c r="I3" i="164" s="1"/>
  <c r="C13" i="163"/>
  <c r="D13" i="163" s="1"/>
  <c r="E13" i="163"/>
  <c r="F13" i="163"/>
  <c r="H7" i="164"/>
  <c r="I7" i="164" s="1"/>
  <c r="M7" i="164"/>
  <c r="K7" i="164"/>
  <c r="J7" i="164"/>
  <c r="E7" i="164"/>
  <c r="F7" i="164" s="1"/>
  <c r="D7" i="164"/>
  <c r="C7" i="164"/>
  <c r="B7" i="164"/>
  <c r="A2" i="163"/>
  <c r="F10" i="163"/>
  <c r="E10" i="163"/>
  <c r="C10" i="163"/>
  <c r="D10" i="163" s="1"/>
  <c r="C8" i="163"/>
  <c r="D8" i="163" s="1"/>
  <c r="F8" i="163"/>
  <c r="E8" i="163"/>
  <c r="M5" i="164"/>
  <c r="K5" i="164"/>
  <c r="J5" i="164"/>
  <c r="E5" i="164"/>
  <c r="F5" i="164" s="1"/>
  <c r="D5" i="164"/>
  <c r="C5" i="164"/>
  <c r="B5" i="164"/>
  <c r="H5" i="164"/>
  <c r="I5" i="164" s="1"/>
  <c r="A15" i="163"/>
  <c r="E4" i="163"/>
  <c r="C4" i="163"/>
  <c r="D4" i="163" s="1"/>
  <c r="F4" i="163"/>
  <c r="M6" i="164"/>
  <c r="K6" i="164"/>
  <c r="J6" i="164"/>
  <c r="E6" i="164"/>
  <c r="F6" i="164" s="1"/>
  <c r="D6" i="164"/>
  <c r="C6" i="164"/>
  <c r="B6" i="164"/>
  <c r="H6" i="164"/>
  <c r="I6" i="164" s="1"/>
  <c r="A14" i="163"/>
  <c r="M4" i="164"/>
  <c r="K4" i="164"/>
  <c r="J4" i="164"/>
  <c r="E4" i="164"/>
  <c r="F4" i="164" s="1"/>
  <c r="D4" i="164"/>
  <c r="C4" i="164"/>
  <c r="B4" i="164"/>
  <c r="H4" i="164"/>
  <c r="I4" i="164" s="1"/>
  <c r="C5" i="163"/>
  <c r="D5" i="163" s="1"/>
  <c r="F5" i="163"/>
  <c r="E5" i="163"/>
  <c r="M8" i="164"/>
  <c r="K8" i="164"/>
  <c r="J8" i="164"/>
  <c r="E8" i="164"/>
  <c r="F8" i="164" s="1"/>
  <c r="D8" i="164"/>
  <c r="C8" i="164"/>
  <c r="B8" i="164"/>
  <c r="H8" i="164"/>
  <c r="I8" i="164" s="1"/>
  <c r="C11" i="163"/>
  <c r="D11" i="163" s="1"/>
  <c r="F11" i="163"/>
  <c r="E11" i="163"/>
  <c r="M2" i="164"/>
  <c r="K2" i="164"/>
  <c r="J2" i="164"/>
  <c r="H2" i="164"/>
  <c r="I2" i="164" s="1"/>
  <c r="E2" i="164"/>
  <c r="F2" i="164" s="1"/>
  <c r="D2" i="164"/>
  <c r="C2" i="164"/>
  <c r="B2" i="164"/>
  <c r="B16" i="163"/>
  <c r="A3" i="163"/>
  <c r="F6" i="163"/>
  <c r="C6" i="163"/>
  <c r="D6" i="163" s="1"/>
  <c r="E6" i="163"/>
  <c r="F12" i="163"/>
  <c r="E12" i="163"/>
  <c r="C12" i="163"/>
  <c r="D12" i="163" s="1"/>
  <c r="C7" i="163"/>
  <c r="D7" i="163" s="1"/>
  <c r="F7" i="163"/>
  <c r="E7" i="163"/>
  <c r="C9" i="163"/>
  <c r="D9" i="163" s="1"/>
  <c r="F9" i="163"/>
  <c r="E9" i="163"/>
  <c r="A24" i="458"/>
  <c r="J23" i="458"/>
  <c r="A23" i="458" s="1"/>
  <c r="N22" i="458"/>
  <c r="J22" i="458"/>
  <c r="A22" i="458" s="1"/>
  <c r="N21" i="458"/>
  <c r="J21" i="458"/>
  <c r="A21" i="458" s="1"/>
  <c r="N20" i="458"/>
  <c r="J20" i="458"/>
  <c r="A20" i="458" s="1"/>
  <c r="N19" i="458"/>
  <c r="J19" i="458"/>
  <c r="A19" i="458" s="1"/>
  <c r="N18" i="458"/>
  <c r="J18" i="458"/>
  <c r="A18" i="458" s="1"/>
  <c r="N17" i="458"/>
  <c r="J17" i="458"/>
  <c r="A17" i="458" s="1"/>
  <c r="N16" i="458"/>
  <c r="J16" i="458"/>
  <c r="A16" i="458" s="1"/>
  <c r="N15" i="458"/>
  <c r="J15" i="458"/>
  <c r="A15" i="458" s="1"/>
  <c r="N14" i="458"/>
  <c r="J14" i="458"/>
  <c r="A14" i="458" s="1"/>
  <c r="N13" i="458"/>
  <c r="J13" i="458"/>
  <c r="A13" i="458" s="1"/>
  <c r="N12" i="458"/>
  <c r="J12" i="458"/>
  <c r="A12" i="458" s="1"/>
  <c r="N11" i="458"/>
  <c r="J11" i="458"/>
  <c r="A11" i="458" s="1"/>
  <c r="N10" i="458"/>
  <c r="J10" i="458"/>
  <c r="A10" i="458" s="1"/>
  <c r="N9" i="458"/>
  <c r="J9" i="458"/>
  <c r="A9" i="458" s="1"/>
  <c r="N8" i="458"/>
  <c r="J8" i="458"/>
  <c r="A8" i="458" s="1"/>
  <c r="N7" i="458"/>
  <c r="J7" i="458"/>
  <c r="A7" i="458" s="1"/>
  <c r="N6" i="458"/>
  <c r="J6" i="458"/>
  <c r="A6" i="458" s="1"/>
  <c r="N5" i="458"/>
  <c r="J5" i="458"/>
  <c r="A5" i="458" s="1"/>
  <c r="N4" i="458"/>
  <c r="J4" i="458"/>
  <c r="A4" i="458" s="1"/>
  <c r="N3" i="458"/>
  <c r="J3" i="458"/>
  <c r="A3" i="458" s="1"/>
  <c r="N2" i="458"/>
  <c r="J2" i="458"/>
  <c r="A2" i="458" s="1"/>
  <c r="N3" i="457"/>
  <c r="N4" i="457"/>
  <c r="N5" i="457"/>
  <c r="N6" i="457"/>
  <c r="N7" i="457"/>
  <c r="N8" i="457"/>
  <c r="N9" i="457"/>
  <c r="N10" i="457"/>
  <c r="N11" i="457"/>
  <c r="N12" i="457"/>
  <c r="N13" i="457"/>
  <c r="N14" i="457"/>
  <c r="N15" i="457"/>
  <c r="N16" i="457"/>
  <c r="N17" i="457"/>
  <c r="N18" i="457"/>
  <c r="N19" i="457"/>
  <c r="N20" i="457"/>
  <c r="N21" i="457"/>
  <c r="N22" i="457"/>
  <c r="N23" i="457"/>
  <c r="N2" i="457"/>
  <c r="M3" i="457"/>
  <c r="M4" i="457"/>
  <c r="M5" i="457"/>
  <c r="M6" i="457"/>
  <c r="M7" i="457"/>
  <c r="M8" i="457"/>
  <c r="M9" i="457"/>
  <c r="M10" i="457"/>
  <c r="M11" i="457"/>
  <c r="M12" i="457"/>
  <c r="M13" i="457"/>
  <c r="M14" i="457"/>
  <c r="M15" i="457"/>
  <c r="M16" i="457"/>
  <c r="M17" i="457"/>
  <c r="M18" i="457"/>
  <c r="M19" i="457"/>
  <c r="M20" i="457"/>
  <c r="M21" i="457"/>
  <c r="M22" i="457"/>
  <c r="M23" i="457"/>
  <c r="M2" i="457"/>
  <c r="G3" i="457"/>
  <c r="G4" i="457"/>
  <c r="G5" i="457"/>
  <c r="G6" i="457"/>
  <c r="G7" i="457"/>
  <c r="G8" i="457"/>
  <c r="G9" i="457"/>
  <c r="G10" i="457"/>
  <c r="G11" i="457"/>
  <c r="G12" i="457"/>
  <c r="G13" i="457"/>
  <c r="G14" i="457"/>
  <c r="G15" i="457"/>
  <c r="G16" i="457"/>
  <c r="G17" i="457"/>
  <c r="G18" i="457"/>
  <c r="G19" i="457"/>
  <c r="G20" i="457"/>
  <c r="G21" i="457"/>
  <c r="G22" i="457"/>
  <c r="G23" i="457"/>
  <c r="G2" i="457"/>
  <c r="O18" i="455"/>
  <c r="E18" i="455"/>
  <c r="O17" i="455"/>
  <c r="E17" i="455"/>
  <c r="O16" i="455"/>
  <c r="E16" i="455"/>
  <c r="O15" i="455"/>
  <c r="E15" i="455"/>
  <c r="O14" i="455"/>
  <c r="E14" i="455"/>
  <c r="O13" i="455"/>
  <c r="E13" i="455"/>
  <c r="O12" i="455"/>
  <c r="E12" i="455"/>
  <c r="O11" i="455"/>
  <c r="E11" i="455"/>
  <c r="O10" i="455"/>
  <c r="E10" i="455"/>
  <c r="O9" i="455"/>
  <c r="E9" i="455"/>
  <c r="O8" i="455"/>
  <c r="E8" i="455"/>
  <c r="O7" i="455"/>
  <c r="E7" i="455"/>
  <c r="O6" i="455"/>
  <c r="E6" i="455"/>
  <c r="O5" i="455"/>
  <c r="E5" i="455"/>
  <c r="O4" i="455"/>
  <c r="E4" i="455"/>
  <c r="O3" i="455"/>
  <c r="E3" i="455"/>
  <c r="O2" i="455"/>
  <c r="E2" i="455"/>
  <c r="P6" i="452"/>
  <c r="P7" i="452"/>
  <c r="P8" i="452"/>
  <c r="P9" i="452"/>
  <c r="P10" i="452"/>
  <c r="P11" i="452"/>
  <c r="P12" i="452"/>
  <c r="P13" i="452"/>
  <c r="P14" i="452"/>
  <c r="P15" i="452"/>
  <c r="P16" i="452"/>
  <c r="P17" i="452"/>
  <c r="P18" i="452"/>
  <c r="P19" i="452"/>
  <c r="P20" i="452"/>
  <c r="P21" i="452"/>
  <c r="P22" i="452"/>
  <c r="P23" i="452"/>
  <c r="P24" i="452"/>
  <c r="P25" i="452"/>
  <c r="P26" i="452"/>
  <c r="P27" i="452"/>
  <c r="P28" i="452"/>
  <c r="P29" i="452"/>
  <c r="P5" i="452"/>
  <c r="P4" i="452"/>
  <c r="P3" i="452"/>
  <c r="P2" i="452"/>
  <c r="J3" i="452"/>
  <c r="J4" i="452"/>
  <c r="J5" i="452"/>
  <c r="J6" i="452"/>
  <c r="J7" i="452"/>
  <c r="J8" i="452"/>
  <c r="J9" i="452"/>
  <c r="J10" i="452"/>
  <c r="J11" i="452"/>
  <c r="J12" i="452"/>
  <c r="J13" i="452"/>
  <c r="J14" i="452"/>
  <c r="J15" i="452"/>
  <c r="J16" i="452"/>
  <c r="J17" i="452"/>
  <c r="J18" i="452"/>
  <c r="J19" i="452"/>
  <c r="J20" i="452"/>
  <c r="J21" i="452"/>
  <c r="J22" i="452"/>
  <c r="J23" i="452"/>
  <c r="J24" i="452"/>
  <c r="J25" i="452"/>
  <c r="J26" i="452"/>
  <c r="J27" i="452"/>
  <c r="J28" i="452"/>
  <c r="J29" i="452"/>
  <c r="J2" i="452"/>
  <c r="M3" i="452"/>
  <c r="M4" i="452"/>
  <c r="M5" i="452"/>
  <c r="M6" i="452"/>
  <c r="M7" i="452"/>
  <c r="M8" i="452"/>
  <c r="M9" i="452"/>
  <c r="M10" i="452"/>
  <c r="M11" i="452"/>
  <c r="M12" i="452"/>
  <c r="M13" i="452"/>
  <c r="M14" i="452"/>
  <c r="M15" i="452"/>
  <c r="M16" i="452"/>
  <c r="M17" i="452"/>
  <c r="M18" i="452"/>
  <c r="M19" i="452"/>
  <c r="M20" i="452"/>
  <c r="M21" i="452"/>
  <c r="M22" i="452"/>
  <c r="M23" i="452"/>
  <c r="M24" i="452"/>
  <c r="M25" i="452"/>
  <c r="M26" i="452"/>
  <c r="M27" i="452"/>
  <c r="M28" i="452"/>
  <c r="M29" i="452"/>
  <c r="M2" i="452"/>
  <c r="G3" i="452"/>
  <c r="A3" i="452" s="1"/>
  <c r="G4" i="452"/>
  <c r="A4" i="452" s="1"/>
  <c r="G5" i="452"/>
  <c r="A5" i="452" s="1"/>
  <c r="G6" i="452"/>
  <c r="A6" i="452" s="1"/>
  <c r="G7" i="452"/>
  <c r="A7" i="452" s="1"/>
  <c r="G8" i="452"/>
  <c r="A8" i="452" s="1"/>
  <c r="G9" i="452"/>
  <c r="A9" i="452" s="1"/>
  <c r="G10" i="452"/>
  <c r="A10" i="452" s="1"/>
  <c r="G11" i="452"/>
  <c r="A11" i="452" s="1"/>
  <c r="G12" i="452"/>
  <c r="A12" i="452" s="1"/>
  <c r="G13" i="452"/>
  <c r="A13" i="452" s="1"/>
  <c r="G14" i="452"/>
  <c r="A14" i="452" s="1"/>
  <c r="G15" i="452"/>
  <c r="A15" i="452" s="1"/>
  <c r="G16" i="452"/>
  <c r="A16" i="452" s="1"/>
  <c r="G17" i="452"/>
  <c r="A17" i="452" s="1"/>
  <c r="G18" i="452"/>
  <c r="A18" i="452" s="1"/>
  <c r="G19" i="452"/>
  <c r="A19" i="452" s="1"/>
  <c r="G20" i="452"/>
  <c r="A20" i="452" s="1"/>
  <c r="G21" i="452"/>
  <c r="A21" i="452" s="1"/>
  <c r="G22" i="452"/>
  <c r="A22" i="452" s="1"/>
  <c r="G23" i="452"/>
  <c r="A23" i="452" s="1"/>
  <c r="G24" i="452"/>
  <c r="A24" i="452" s="1"/>
  <c r="G25" i="452"/>
  <c r="A25" i="452" s="1"/>
  <c r="G26" i="452"/>
  <c r="A26" i="452" s="1"/>
  <c r="G27" i="452"/>
  <c r="A27" i="452" s="1"/>
  <c r="G28" i="452"/>
  <c r="A28" i="452" s="1"/>
  <c r="G29" i="452"/>
  <c r="A29" i="452" s="1"/>
  <c r="G2" i="452"/>
  <c r="A2" i="452" s="1"/>
  <c r="H9" i="404"/>
  <c r="G9" i="404"/>
  <c r="C9" i="404"/>
  <c r="H8" i="404"/>
  <c r="G8" i="404"/>
  <c r="C8" i="404"/>
  <c r="O18" i="451"/>
  <c r="E18" i="451"/>
  <c r="O17" i="451"/>
  <c r="E17" i="451"/>
  <c r="O16" i="451"/>
  <c r="E16" i="451"/>
  <c r="O15" i="451"/>
  <c r="E15" i="451"/>
  <c r="O14" i="451"/>
  <c r="E14" i="451"/>
  <c r="O13" i="451"/>
  <c r="E13" i="451"/>
  <c r="O12" i="451"/>
  <c r="E12" i="451"/>
  <c r="O11" i="451"/>
  <c r="E11" i="451"/>
  <c r="O10" i="451"/>
  <c r="E10" i="451"/>
  <c r="O9" i="451"/>
  <c r="E9" i="451"/>
  <c r="O8" i="451"/>
  <c r="E8" i="451"/>
  <c r="O7" i="451"/>
  <c r="E7" i="451"/>
  <c r="O6" i="451"/>
  <c r="E6" i="451"/>
  <c r="O5" i="451"/>
  <c r="E5" i="451"/>
  <c r="O4" i="451"/>
  <c r="E4" i="451"/>
  <c r="O3" i="451"/>
  <c r="E3" i="451"/>
  <c r="O2" i="451"/>
  <c r="E2" i="451"/>
  <c r="T3" i="447"/>
  <c r="T4" i="447"/>
  <c r="T5" i="447"/>
  <c r="T6" i="447"/>
  <c r="T7" i="447"/>
  <c r="T8" i="447"/>
  <c r="T9" i="447"/>
  <c r="T10" i="447"/>
  <c r="T11" i="447"/>
  <c r="T12" i="447"/>
  <c r="T13" i="447"/>
  <c r="T14" i="447"/>
  <c r="T15" i="447"/>
  <c r="T16" i="447"/>
  <c r="T17" i="447"/>
  <c r="T18" i="447"/>
  <c r="T2" i="447"/>
  <c r="S2" i="447"/>
  <c r="K3" i="447"/>
  <c r="K4" i="447"/>
  <c r="K5" i="447"/>
  <c r="K6" i="447"/>
  <c r="K7" i="447"/>
  <c r="K8" i="447"/>
  <c r="K9" i="447"/>
  <c r="K10" i="447"/>
  <c r="K11" i="447"/>
  <c r="K12" i="447"/>
  <c r="K13" i="447"/>
  <c r="K14" i="447"/>
  <c r="K15" i="447"/>
  <c r="K16" i="447"/>
  <c r="K17" i="447"/>
  <c r="K18" i="447"/>
  <c r="K2" i="447"/>
  <c r="S18" i="447"/>
  <c r="R18" i="447"/>
  <c r="Q18" i="447"/>
  <c r="S17" i="447"/>
  <c r="R17" i="447"/>
  <c r="Q17" i="447"/>
  <c r="S16" i="447"/>
  <c r="R16" i="447"/>
  <c r="Q16" i="447"/>
  <c r="S15" i="447"/>
  <c r="R15" i="447"/>
  <c r="Q15" i="447"/>
  <c r="S14" i="447"/>
  <c r="R14" i="447"/>
  <c r="Q14" i="447"/>
  <c r="S13" i="447"/>
  <c r="R13" i="447"/>
  <c r="Q13" i="447"/>
  <c r="S12" i="447"/>
  <c r="R12" i="447"/>
  <c r="Q12" i="447"/>
  <c r="S11" i="447"/>
  <c r="R11" i="447"/>
  <c r="Q11" i="447"/>
  <c r="S10" i="447"/>
  <c r="R10" i="447"/>
  <c r="Q10" i="447"/>
  <c r="S9" i="447"/>
  <c r="R9" i="447"/>
  <c r="Q9" i="447"/>
  <c r="S8" i="447"/>
  <c r="R8" i="447"/>
  <c r="Q8" i="447"/>
  <c r="S7" i="447"/>
  <c r="R7" i="447"/>
  <c r="Q7" i="447"/>
  <c r="S6" i="447"/>
  <c r="R6" i="447"/>
  <c r="Q6" i="447"/>
  <c r="S5" i="447"/>
  <c r="R5" i="447"/>
  <c r="Q5" i="447"/>
  <c r="S4" i="447"/>
  <c r="R4" i="447"/>
  <c r="Q4" i="447"/>
  <c r="S3" i="447"/>
  <c r="R3" i="447"/>
  <c r="Q3" i="447"/>
  <c r="R2" i="447"/>
  <c r="Q2" i="447"/>
  <c r="O3" i="446"/>
  <c r="O4" i="446"/>
  <c r="O5" i="446"/>
  <c r="O6" i="446"/>
  <c r="O7" i="446"/>
  <c r="O8" i="446"/>
  <c r="O9" i="446"/>
  <c r="O10" i="446"/>
  <c r="O11" i="446"/>
  <c r="O12" i="446"/>
  <c r="O13" i="446"/>
  <c r="O14" i="446"/>
  <c r="O15" i="446"/>
  <c r="O16" i="446"/>
  <c r="O17" i="446"/>
  <c r="O18" i="446"/>
  <c r="O2" i="446"/>
  <c r="E3" i="446"/>
  <c r="E4" i="446"/>
  <c r="E5" i="446"/>
  <c r="E6" i="446"/>
  <c r="E7" i="446"/>
  <c r="E8" i="446"/>
  <c r="E9" i="446"/>
  <c r="E10" i="446"/>
  <c r="E11" i="446"/>
  <c r="E12" i="446"/>
  <c r="E13" i="446"/>
  <c r="E14" i="446"/>
  <c r="E15" i="446"/>
  <c r="E16" i="446"/>
  <c r="E17" i="446"/>
  <c r="E18" i="446"/>
  <c r="Q3" i="444"/>
  <c r="Q4" i="444"/>
  <c r="Q5" i="444"/>
  <c r="Q6" i="444"/>
  <c r="Q7" i="444"/>
  <c r="Q8" i="444"/>
  <c r="Q9" i="444"/>
  <c r="Q10" i="444"/>
  <c r="Q11" i="444"/>
  <c r="Q12" i="444"/>
  <c r="Q13" i="444"/>
  <c r="Q14" i="444"/>
  <c r="Q15" i="444"/>
  <c r="Q16" i="444"/>
  <c r="Q17" i="444"/>
  <c r="Q18" i="444"/>
  <c r="Q2" i="444"/>
  <c r="P3" i="444"/>
  <c r="P4" i="444"/>
  <c r="P5" i="444"/>
  <c r="P6" i="444"/>
  <c r="P7" i="444"/>
  <c r="P8" i="444"/>
  <c r="P9" i="444"/>
  <c r="P10" i="444"/>
  <c r="P11" i="444"/>
  <c r="P12" i="444"/>
  <c r="P13" i="444"/>
  <c r="P14" i="444"/>
  <c r="P15" i="444"/>
  <c r="P16" i="444"/>
  <c r="P17" i="444"/>
  <c r="P18" i="444"/>
  <c r="P2" i="444"/>
  <c r="O3" i="444"/>
  <c r="O4" i="444"/>
  <c r="O5" i="444"/>
  <c r="O6" i="444"/>
  <c r="O7" i="444"/>
  <c r="O8" i="444"/>
  <c r="O9" i="444"/>
  <c r="O10" i="444"/>
  <c r="O11" i="444"/>
  <c r="O12" i="444"/>
  <c r="O13" i="444"/>
  <c r="O14" i="444"/>
  <c r="O15" i="444"/>
  <c r="O16" i="444"/>
  <c r="O17" i="444"/>
  <c r="O18" i="444"/>
  <c r="O2" i="444"/>
  <c r="G6" i="163" l="1"/>
  <c r="G10" i="163"/>
  <c r="G4" i="163"/>
  <c r="G11" i="163"/>
  <c r="G12" i="163"/>
  <c r="D2" i="151"/>
  <c r="C2" i="151"/>
  <c r="C15" i="163"/>
  <c r="D15" i="163" s="1"/>
  <c r="E15" i="163"/>
  <c r="F15" i="163"/>
  <c r="F2" i="163"/>
  <c r="E2" i="163"/>
  <c r="C2" i="163"/>
  <c r="G9" i="163"/>
  <c r="C14" i="163"/>
  <c r="D14" i="163" s="1"/>
  <c r="F14" i="163"/>
  <c r="E14" i="163"/>
  <c r="G8" i="163"/>
  <c r="D4" i="151"/>
  <c r="C4" i="151"/>
  <c r="G13" i="163"/>
  <c r="D3" i="151"/>
  <c r="C3" i="151"/>
  <c r="G7" i="163"/>
  <c r="G5" i="163"/>
  <c r="C3" i="163"/>
  <c r="D3" i="163" s="1"/>
  <c r="F3" i="163"/>
  <c r="E3" i="163"/>
  <c r="O11" i="457"/>
  <c r="A11" i="457" s="1"/>
  <c r="O3" i="457"/>
  <c r="A3" i="457" s="1"/>
  <c r="O2" i="457"/>
  <c r="A2" i="457" s="1"/>
  <c r="O16" i="457"/>
  <c r="A16" i="457" s="1"/>
  <c r="O22" i="457"/>
  <c r="A22" i="457" s="1"/>
  <c r="O14" i="457"/>
  <c r="A14" i="457" s="1"/>
  <c r="O6" i="457"/>
  <c r="A6" i="457" s="1"/>
  <c r="O13" i="457"/>
  <c r="A13" i="457" s="1"/>
  <c r="O4" i="457"/>
  <c r="A4" i="457" s="1"/>
  <c r="O21" i="457"/>
  <c r="A21" i="457" s="1"/>
  <c r="O5" i="457"/>
  <c r="A5" i="457" s="1"/>
  <c r="O20" i="457"/>
  <c r="A20" i="457" s="1"/>
  <c r="O15" i="457"/>
  <c r="A15" i="457" s="1"/>
  <c r="O12" i="457"/>
  <c r="A12" i="457" s="1"/>
  <c r="O8" i="457"/>
  <c r="A8" i="457" s="1"/>
  <c r="O23" i="457"/>
  <c r="A23" i="457" s="1"/>
  <c r="O7" i="457"/>
  <c r="A7" i="457" s="1"/>
  <c r="O19" i="457"/>
  <c r="A19" i="457" s="1"/>
  <c r="O17" i="457"/>
  <c r="A17" i="457" s="1"/>
  <c r="O9" i="457"/>
  <c r="A9" i="457" s="1"/>
  <c r="O18" i="457"/>
  <c r="A18" i="457" s="1"/>
  <c r="O10" i="457"/>
  <c r="A10" i="457" s="1"/>
  <c r="U3" i="447"/>
  <c r="A3" i="447" s="1"/>
  <c r="U11" i="447"/>
  <c r="A11" i="447" s="1"/>
  <c r="U16" i="447"/>
  <c r="A16" i="447" s="1"/>
  <c r="U9" i="447"/>
  <c r="A9" i="447" s="1"/>
  <c r="U17" i="447"/>
  <c r="A17" i="447" s="1"/>
  <c r="U2" i="447"/>
  <c r="A2" i="447" s="1"/>
  <c r="U8" i="447"/>
  <c r="A8" i="447" s="1"/>
  <c r="U6" i="447"/>
  <c r="A6" i="447" s="1"/>
  <c r="U14" i="447"/>
  <c r="A14" i="447" s="1"/>
  <c r="U4" i="447"/>
  <c r="A4" i="447" s="1"/>
  <c r="U12" i="447"/>
  <c r="A12" i="447" s="1"/>
  <c r="U5" i="447"/>
  <c r="A5" i="447" s="1"/>
  <c r="U7" i="447"/>
  <c r="A7" i="447" s="1"/>
  <c r="U10" i="447"/>
  <c r="A10" i="447" s="1"/>
  <c r="U13" i="447"/>
  <c r="A13" i="447" s="1"/>
  <c r="U15" i="447"/>
  <c r="A15" i="447" s="1"/>
  <c r="U18" i="447"/>
  <c r="A18" i="447" s="1"/>
  <c r="R6" i="444"/>
  <c r="R14" i="444"/>
  <c r="R13" i="444"/>
  <c r="R5" i="444"/>
  <c r="R2" i="444"/>
  <c r="R11" i="444"/>
  <c r="R3" i="444"/>
  <c r="R12" i="444"/>
  <c r="R4" i="444"/>
  <c r="R8" i="444"/>
  <c r="R17" i="444"/>
  <c r="R9" i="444"/>
  <c r="R18" i="444"/>
  <c r="R10" i="444"/>
  <c r="R16" i="444"/>
  <c r="R15" i="444"/>
  <c r="R7" i="444"/>
  <c r="G14" i="163" l="1"/>
  <c r="G15" i="163"/>
  <c r="F16" i="163"/>
  <c r="C5" i="151"/>
  <c r="D5" i="151"/>
  <c r="C16" i="163"/>
  <c r="D2" i="163"/>
  <c r="D16" i="163" s="1"/>
  <c r="B2" i="162" s="1"/>
  <c r="B4" i="162" s="1"/>
  <c r="G3" i="163"/>
  <c r="G2" i="163"/>
  <c r="E16" i="163"/>
  <c r="J3" i="444"/>
  <c r="A3" i="444" s="1"/>
  <c r="J4" i="444"/>
  <c r="A4" i="444" s="1"/>
  <c r="J5" i="444"/>
  <c r="A5" i="444" s="1"/>
  <c r="J6" i="444"/>
  <c r="A6" i="444" s="1"/>
  <c r="J7" i="444"/>
  <c r="A7" i="444" s="1"/>
  <c r="J8" i="444"/>
  <c r="A8" i="444" s="1"/>
  <c r="J9" i="444"/>
  <c r="A9" i="444" s="1"/>
  <c r="J10" i="444"/>
  <c r="A10" i="444" s="1"/>
  <c r="J11" i="444"/>
  <c r="A11" i="444" s="1"/>
  <c r="J12" i="444"/>
  <c r="A12" i="444" s="1"/>
  <c r="J13" i="444"/>
  <c r="A13" i="444" s="1"/>
  <c r="J14" i="444"/>
  <c r="A14" i="444" s="1"/>
  <c r="J15" i="444"/>
  <c r="A15" i="444" s="1"/>
  <c r="J16" i="444"/>
  <c r="A16" i="444" s="1"/>
  <c r="J17" i="444"/>
  <c r="A17" i="444" s="1"/>
  <c r="J18" i="444"/>
  <c r="A18" i="444" s="1"/>
  <c r="J2" i="444"/>
  <c r="A2" i="444" s="1"/>
  <c r="G16" i="163" l="1"/>
  <c r="C2" i="162" s="1"/>
  <c r="C4" i="162" s="1"/>
  <c r="J3" i="443"/>
  <c r="J4" i="443"/>
  <c r="J5" i="443"/>
  <c r="J6" i="443"/>
  <c r="J7" i="443"/>
  <c r="J8" i="443"/>
  <c r="J9" i="443"/>
  <c r="J10" i="443"/>
  <c r="J11" i="443"/>
  <c r="J12" i="443"/>
  <c r="J13" i="443"/>
  <c r="J14" i="443"/>
  <c r="J15" i="443"/>
  <c r="J16" i="443"/>
  <c r="J17" i="443"/>
  <c r="J18" i="443"/>
  <c r="J19" i="443"/>
  <c r="J20" i="443"/>
  <c r="J21" i="443"/>
  <c r="J22" i="443"/>
  <c r="J2" i="443"/>
  <c r="E2" i="121" s="1"/>
  <c r="F3" i="443"/>
  <c r="A3" i="443" s="1"/>
  <c r="F4" i="443"/>
  <c r="A4" i="443" s="1"/>
  <c r="F5" i="443"/>
  <c r="A5" i="443" s="1"/>
  <c r="F6" i="443"/>
  <c r="A6" i="443" s="1"/>
  <c r="F7" i="443"/>
  <c r="A7" i="443" s="1"/>
  <c r="F8" i="443"/>
  <c r="A8" i="443" s="1"/>
  <c r="F9" i="443"/>
  <c r="A9" i="443" s="1"/>
  <c r="F10" i="443"/>
  <c r="A10" i="443" s="1"/>
  <c r="F11" i="443"/>
  <c r="A11" i="443" s="1"/>
  <c r="F12" i="443"/>
  <c r="A12" i="443" s="1"/>
  <c r="F13" i="443"/>
  <c r="A13" i="443" s="1"/>
  <c r="F14" i="443"/>
  <c r="A14" i="443" s="1"/>
  <c r="F15" i="443"/>
  <c r="A15" i="443" s="1"/>
  <c r="F16" i="443"/>
  <c r="A16" i="443" s="1"/>
  <c r="F17" i="443"/>
  <c r="A17" i="443" s="1"/>
  <c r="F18" i="443"/>
  <c r="A18" i="443" s="1"/>
  <c r="F19" i="443"/>
  <c r="A19" i="443" s="1"/>
  <c r="F20" i="443"/>
  <c r="A20" i="443" s="1"/>
  <c r="F21" i="443"/>
  <c r="A21" i="443" s="1"/>
  <c r="F22" i="443"/>
  <c r="A22" i="443" s="1"/>
  <c r="F2" i="443"/>
  <c r="A2" i="443" s="1"/>
  <c r="H16" i="442"/>
  <c r="E16" i="442"/>
  <c r="H15" i="442"/>
  <c r="E15" i="442"/>
  <c r="H14" i="442"/>
  <c r="E14" i="442"/>
  <c r="H13" i="442"/>
  <c r="E13" i="442"/>
  <c r="H12" i="442"/>
  <c r="E12" i="442"/>
  <c r="H11" i="442"/>
  <c r="E11" i="442"/>
  <c r="H10" i="442"/>
  <c r="E10" i="442"/>
  <c r="H9" i="442"/>
  <c r="E9" i="442"/>
  <c r="H8" i="442"/>
  <c r="E8" i="442"/>
  <c r="H7" i="442"/>
  <c r="E7" i="442"/>
  <c r="H6" i="442"/>
  <c r="E6" i="442"/>
  <c r="H5" i="442"/>
  <c r="E5" i="442"/>
  <c r="H4" i="442"/>
  <c r="E4" i="442"/>
  <c r="H3" i="442"/>
  <c r="E3" i="442"/>
  <c r="H2" i="442"/>
  <c r="E2" i="442"/>
  <c r="E3" i="441"/>
  <c r="E4" i="441"/>
  <c r="E5" i="441"/>
  <c r="E6" i="441"/>
  <c r="E7" i="441"/>
  <c r="E8" i="441"/>
  <c r="E9" i="441"/>
  <c r="E10" i="441"/>
  <c r="E11" i="441"/>
  <c r="E12" i="441"/>
  <c r="E13" i="441"/>
  <c r="E14" i="441"/>
  <c r="E15" i="441"/>
  <c r="E16" i="441"/>
  <c r="E2" i="441"/>
  <c r="H3" i="441"/>
  <c r="H4" i="441"/>
  <c r="H5" i="441"/>
  <c r="H6" i="441"/>
  <c r="H7" i="441"/>
  <c r="H8" i="441"/>
  <c r="H9" i="441"/>
  <c r="H10" i="441"/>
  <c r="H11" i="441"/>
  <c r="H12" i="441"/>
  <c r="H13" i="441"/>
  <c r="H14" i="441"/>
  <c r="H15" i="441"/>
  <c r="H16" i="441"/>
  <c r="H2" i="441"/>
  <c r="D13" i="115"/>
  <c r="D14" i="115"/>
  <c r="I5" i="440"/>
  <c r="I6" i="440"/>
  <c r="I7" i="440"/>
  <c r="I8" i="440"/>
  <c r="I9" i="440"/>
  <c r="I10" i="440"/>
  <c r="I11" i="440"/>
  <c r="I12" i="440"/>
  <c r="I13" i="440"/>
  <c r="A13" i="440" s="1"/>
  <c r="I14" i="440"/>
  <c r="A14" i="440" s="1"/>
  <c r="I15" i="440"/>
  <c r="A15" i="440" s="1"/>
  <c r="I16" i="440"/>
  <c r="A16" i="440" s="1"/>
  <c r="I17" i="440"/>
  <c r="A17" i="440" s="1"/>
  <c r="I18" i="440"/>
  <c r="A18" i="440" s="1"/>
  <c r="I19" i="440"/>
  <c r="A19" i="440" s="1"/>
  <c r="I20" i="440"/>
  <c r="A20" i="440" s="1"/>
  <c r="I21" i="440"/>
  <c r="A21" i="440" s="1"/>
  <c r="I22" i="440"/>
  <c r="A22" i="440" s="1"/>
  <c r="I23" i="440"/>
  <c r="A23" i="440" s="1"/>
  <c r="I24" i="440"/>
  <c r="A24" i="440" s="1"/>
  <c r="I25" i="440"/>
  <c r="A25" i="440" s="1"/>
  <c r="N5" i="440"/>
  <c r="C5" i="115" s="1"/>
  <c r="N6" i="440"/>
  <c r="C6" i="115" s="1"/>
  <c r="N7" i="440"/>
  <c r="C7" i="115" s="1"/>
  <c r="N8" i="440"/>
  <c r="C8" i="115" s="1"/>
  <c r="N9" i="440"/>
  <c r="C9" i="115" s="1"/>
  <c r="N10" i="440"/>
  <c r="C10" i="115" s="1"/>
  <c r="N11" i="440"/>
  <c r="C11" i="115" s="1"/>
  <c r="N12" i="440"/>
  <c r="C12" i="115" s="1"/>
  <c r="N13" i="440"/>
  <c r="N14" i="440"/>
  <c r="N15" i="440"/>
  <c r="N16" i="440"/>
  <c r="N17" i="440"/>
  <c r="N18" i="440"/>
  <c r="N19" i="440"/>
  <c r="N20" i="440"/>
  <c r="N21" i="440"/>
  <c r="N22" i="440"/>
  <c r="N23" i="440"/>
  <c r="N24" i="440"/>
  <c r="N25" i="440"/>
  <c r="N3" i="440"/>
  <c r="C3" i="115" s="1"/>
  <c r="N4" i="440"/>
  <c r="C4" i="115" s="1"/>
  <c r="N2" i="440"/>
  <c r="C2" i="115" s="1"/>
  <c r="I2" i="440"/>
  <c r="I4" i="440"/>
  <c r="I3" i="440"/>
  <c r="O3" i="439"/>
  <c r="X3" i="439" s="1"/>
  <c r="O4" i="439"/>
  <c r="X4" i="439" s="1"/>
  <c r="O5" i="439"/>
  <c r="X5" i="439" s="1"/>
  <c r="O6" i="439"/>
  <c r="X6" i="439" s="1"/>
  <c r="O7" i="439"/>
  <c r="X7" i="439" s="1"/>
  <c r="O8" i="439"/>
  <c r="X8" i="439" s="1"/>
  <c r="O9" i="439"/>
  <c r="X9" i="439" s="1"/>
  <c r="O10" i="439"/>
  <c r="X10" i="439" s="1"/>
  <c r="O11" i="439"/>
  <c r="X11" i="439" s="1"/>
  <c r="O12" i="439"/>
  <c r="X12" i="439" s="1"/>
  <c r="O13" i="439"/>
  <c r="X13" i="439" s="1"/>
  <c r="O14" i="439"/>
  <c r="X14" i="439" s="1"/>
  <c r="O15" i="439"/>
  <c r="X15" i="439" s="1"/>
  <c r="O16" i="439"/>
  <c r="X16" i="439" s="1"/>
  <c r="O17" i="439"/>
  <c r="X17" i="439" s="1"/>
  <c r="O18" i="439"/>
  <c r="X18" i="439" s="1"/>
  <c r="O19" i="439"/>
  <c r="X19" i="439" s="1"/>
  <c r="O2" i="439"/>
  <c r="X2" i="439" s="1"/>
  <c r="E3" i="439"/>
  <c r="E4" i="439"/>
  <c r="E5" i="439"/>
  <c r="E6" i="439"/>
  <c r="E7" i="439"/>
  <c r="E8" i="439"/>
  <c r="E9" i="439"/>
  <c r="E10" i="439"/>
  <c r="E11" i="439"/>
  <c r="E12" i="439"/>
  <c r="E13" i="439"/>
  <c r="E14" i="439"/>
  <c r="E15" i="439"/>
  <c r="E16" i="439"/>
  <c r="E17" i="439"/>
  <c r="E18" i="439"/>
  <c r="E19" i="439"/>
  <c r="E2" i="439"/>
  <c r="K3" i="438"/>
  <c r="AA3" i="438" s="1"/>
  <c r="K4" i="438"/>
  <c r="AA4" i="438" s="1"/>
  <c r="K5" i="438"/>
  <c r="AA5" i="438" s="1"/>
  <c r="K6" i="438"/>
  <c r="AA6" i="438" s="1"/>
  <c r="K7" i="438"/>
  <c r="AA7" i="438" s="1"/>
  <c r="K8" i="438"/>
  <c r="AA8" i="438" s="1"/>
  <c r="K9" i="438"/>
  <c r="AA9" i="438" s="1"/>
  <c r="K10" i="438"/>
  <c r="AA10" i="438" s="1"/>
  <c r="K11" i="438"/>
  <c r="AA11" i="438" s="1"/>
  <c r="K12" i="438"/>
  <c r="AA12" i="438" s="1"/>
  <c r="K13" i="438"/>
  <c r="AA13" i="438" s="1"/>
  <c r="K14" i="438"/>
  <c r="AA14" i="438" s="1"/>
  <c r="K15" i="438"/>
  <c r="AA15" i="438" s="1"/>
  <c r="K16" i="438"/>
  <c r="AA16" i="438" s="1"/>
  <c r="K17" i="438"/>
  <c r="AA17" i="438" s="1"/>
  <c r="K18" i="438"/>
  <c r="AA18" i="438" s="1"/>
  <c r="K19" i="438"/>
  <c r="AA19" i="438" s="1"/>
  <c r="K20" i="438"/>
  <c r="AA20" i="438" s="1"/>
  <c r="K21" i="438"/>
  <c r="AA21" i="438" s="1"/>
  <c r="K22" i="438"/>
  <c r="AA22" i="438" s="1"/>
  <c r="K23" i="438"/>
  <c r="AA23" i="438" s="1"/>
  <c r="K24" i="438"/>
  <c r="AA24" i="438" s="1"/>
  <c r="K2" i="438"/>
  <c r="AA2" i="438" s="1"/>
  <c r="AE3" i="438"/>
  <c r="AE4" i="438"/>
  <c r="AE5" i="438"/>
  <c r="AE6" i="438"/>
  <c r="AE7" i="438"/>
  <c r="AE8" i="438"/>
  <c r="AE9" i="438"/>
  <c r="AE10" i="438"/>
  <c r="AE11" i="438"/>
  <c r="AE12" i="438"/>
  <c r="AE13" i="438"/>
  <c r="AE14" i="438"/>
  <c r="AE15" i="438"/>
  <c r="AE16" i="438"/>
  <c r="AE17" i="438"/>
  <c r="AE18" i="438"/>
  <c r="AE19" i="438"/>
  <c r="AE20" i="438"/>
  <c r="AE21" i="438"/>
  <c r="AE22" i="438"/>
  <c r="AE23" i="438"/>
  <c r="AE24" i="438"/>
  <c r="AE2" i="438"/>
  <c r="AD3" i="438"/>
  <c r="AD4" i="438"/>
  <c r="AD5" i="438"/>
  <c r="AD6" i="438"/>
  <c r="AD7" i="438"/>
  <c r="AD8" i="438"/>
  <c r="AD9" i="438"/>
  <c r="AD10" i="438"/>
  <c r="AD11" i="438"/>
  <c r="AD12" i="438"/>
  <c r="AD13" i="438"/>
  <c r="AD14" i="438"/>
  <c r="AD15" i="438"/>
  <c r="AD16" i="438"/>
  <c r="AD17" i="438"/>
  <c r="AD18" i="438"/>
  <c r="AD19" i="438"/>
  <c r="AD20" i="438"/>
  <c r="AD21" i="438"/>
  <c r="AD22" i="438"/>
  <c r="AD23" i="438"/>
  <c r="AD24" i="438"/>
  <c r="AD2" i="438"/>
  <c r="Z3" i="438"/>
  <c r="Z4" i="438"/>
  <c r="Z5" i="438"/>
  <c r="Z6" i="438"/>
  <c r="Z7" i="438"/>
  <c r="Z8" i="438"/>
  <c r="Z9" i="438"/>
  <c r="Z10" i="438"/>
  <c r="Z11" i="438"/>
  <c r="Z12" i="438"/>
  <c r="Z13" i="438"/>
  <c r="Z14" i="438"/>
  <c r="Z15" i="438"/>
  <c r="Z16" i="438"/>
  <c r="Z17" i="438"/>
  <c r="Z18" i="438"/>
  <c r="Z19" i="438"/>
  <c r="Z20" i="438"/>
  <c r="Z21" i="438"/>
  <c r="Z22" i="438"/>
  <c r="Z23" i="438"/>
  <c r="Z24" i="438"/>
  <c r="Z2" i="438"/>
  <c r="X3" i="438"/>
  <c r="X4" i="438"/>
  <c r="X5" i="438"/>
  <c r="X6" i="438"/>
  <c r="X7" i="438"/>
  <c r="X8" i="438"/>
  <c r="X9" i="438"/>
  <c r="X10" i="438"/>
  <c r="X11" i="438"/>
  <c r="X12" i="438"/>
  <c r="X13" i="438"/>
  <c r="X14" i="438"/>
  <c r="X15" i="438"/>
  <c r="X16" i="438"/>
  <c r="X17" i="438"/>
  <c r="X18" i="438"/>
  <c r="X19" i="438"/>
  <c r="X2" i="438"/>
  <c r="R3" i="438"/>
  <c r="T3" i="438" s="1"/>
  <c r="R4" i="438"/>
  <c r="T4" i="438" s="1"/>
  <c r="R5" i="438"/>
  <c r="T5" i="438" s="1"/>
  <c r="R6" i="438"/>
  <c r="T6" i="438" s="1"/>
  <c r="R7" i="438"/>
  <c r="T7" i="438" s="1"/>
  <c r="R8" i="438"/>
  <c r="T8" i="438" s="1"/>
  <c r="R9" i="438"/>
  <c r="T9" i="438" s="1"/>
  <c r="R10" i="438"/>
  <c r="T10" i="438" s="1"/>
  <c r="R11" i="438"/>
  <c r="T11" i="438" s="1"/>
  <c r="R12" i="438"/>
  <c r="T12" i="438" s="1"/>
  <c r="R13" i="438"/>
  <c r="T13" i="438" s="1"/>
  <c r="R14" i="438"/>
  <c r="T14" i="438" s="1"/>
  <c r="R15" i="438"/>
  <c r="T15" i="438" s="1"/>
  <c r="R16" i="438"/>
  <c r="T16" i="438" s="1"/>
  <c r="R17" i="438"/>
  <c r="T17" i="438" s="1"/>
  <c r="R18" i="438"/>
  <c r="R2" i="438"/>
  <c r="T2" i="438" s="1"/>
  <c r="E3" i="438"/>
  <c r="E4" i="438"/>
  <c r="E5" i="438"/>
  <c r="E6" i="438"/>
  <c r="E7" i="438"/>
  <c r="E8" i="438"/>
  <c r="E9" i="438"/>
  <c r="E10" i="438"/>
  <c r="E11" i="438"/>
  <c r="E12" i="438"/>
  <c r="E13" i="438"/>
  <c r="E14" i="438"/>
  <c r="E2" i="438"/>
  <c r="I3" i="437"/>
  <c r="I4" i="437"/>
  <c r="I5" i="437"/>
  <c r="I6" i="437"/>
  <c r="I7" i="437"/>
  <c r="I8" i="437"/>
  <c r="I9" i="437"/>
  <c r="I10" i="437"/>
  <c r="I11" i="437"/>
  <c r="I12" i="437"/>
  <c r="I13" i="437"/>
  <c r="I14" i="437"/>
  <c r="I15" i="437"/>
  <c r="I16" i="437"/>
  <c r="I17" i="437"/>
  <c r="I18" i="437"/>
  <c r="I19" i="437"/>
  <c r="I20" i="437"/>
  <c r="I21" i="437"/>
  <c r="I22" i="437"/>
  <c r="I23" i="437"/>
  <c r="I24" i="437"/>
  <c r="I25" i="437"/>
  <c r="I26" i="437"/>
  <c r="I27" i="437"/>
  <c r="I28" i="437"/>
  <c r="I29" i="437"/>
  <c r="I30" i="437"/>
  <c r="I31" i="437"/>
  <c r="I32" i="437"/>
  <c r="I33" i="437"/>
  <c r="I34" i="437"/>
  <c r="I35" i="437"/>
  <c r="I36" i="437"/>
  <c r="I37" i="437"/>
  <c r="I38" i="437"/>
  <c r="I39" i="437"/>
  <c r="I40" i="437"/>
  <c r="I41" i="437"/>
  <c r="I42" i="437"/>
  <c r="I43" i="437"/>
  <c r="I44" i="437"/>
  <c r="I45" i="437"/>
  <c r="I46" i="437"/>
  <c r="I47" i="437"/>
  <c r="I48" i="437"/>
  <c r="I49" i="437"/>
  <c r="I50" i="437"/>
  <c r="I51" i="437"/>
  <c r="I52" i="437"/>
  <c r="I53" i="437"/>
  <c r="I54" i="437"/>
  <c r="I55" i="437"/>
  <c r="I56" i="437"/>
  <c r="I57" i="437"/>
  <c r="I58" i="437"/>
  <c r="I59" i="437"/>
  <c r="I60" i="437"/>
  <c r="I61" i="437"/>
  <c r="I62" i="437"/>
  <c r="I63" i="437"/>
  <c r="I64" i="437"/>
  <c r="I65" i="437"/>
  <c r="I66" i="437"/>
  <c r="I67" i="437"/>
  <c r="I68" i="437"/>
  <c r="I69" i="437"/>
  <c r="I70" i="437"/>
  <c r="I71" i="437"/>
  <c r="I72" i="437"/>
  <c r="I73" i="437"/>
  <c r="I74" i="437"/>
  <c r="I75" i="437"/>
  <c r="I76" i="437"/>
  <c r="I77" i="437"/>
  <c r="I78" i="437"/>
  <c r="I79" i="437"/>
  <c r="I80" i="437"/>
  <c r="I81" i="437"/>
  <c r="I82" i="437"/>
  <c r="I83" i="437"/>
  <c r="I84" i="437"/>
  <c r="I85" i="437"/>
  <c r="I86" i="437"/>
  <c r="I87" i="437"/>
  <c r="I88" i="437"/>
  <c r="I89" i="437"/>
  <c r="I90" i="437"/>
  <c r="I91" i="437"/>
  <c r="I92" i="437"/>
  <c r="I93" i="437"/>
  <c r="I94" i="437"/>
  <c r="I95" i="437"/>
  <c r="I96" i="437"/>
  <c r="I97" i="437"/>
  <c r="I98" i="437"/>
  <c r="I99" i="437"/>
  <c r="I100" i="437"/>
  <c r="I101" i="437"/>
  <c r="I102" i="437"/>
  <c r="I103" i="437"/>
  <c r="I104" i="437"/>
  <c r="I105" i="437"/>
  <c r="I106" i="437"/>
  <c r="I107" i="437"/>
  <c r="I108" i="437"/>
  <c r="I109" i="437"/>
  <c r="I110" i="437"/>
  <c r="I111" i="437"/>
  <c r="I112" i="437"/>
  <c r="I113" i="437"/>
  <c r="I114" i="437"/>
  <c r="I115" i="437"/>
  <c r="I116" i="437"/>
  <c r="I117" i="437"/>
  <c r="I118" i="437"/>
  <c r="I119" i="437"/>
  <c r="I120" i="437"/>
  <c r="I121" i="437"/>
  <c r="I122" i="437"/>
  <c r="I123" i="437"/>
  <c r="I124" i="437"/>
  <c r="I125" i="437"/>
  <c r="I126" i="437"/>
  <c r="I127" i="437"/>
  <c r="I128" i="437"/>
  <c r="I129" i="437"/>
  <c r="I130" i="437"/>
  <c r="I131" i="437"/>
  <c r="I132" i="437"/>
  <c r="I133" i="437"/>
  <c r="I134" i="437"/>
  <c r="I135" i="437"/>
  <c r="I136" i="437"/>
  <c r="I137" i="437"/>
  <c r="I138" i="437"/>
  <c r="I139" i="437"/>
  <c r="I140" i="437"/>
  <c r="I141" i="437"/>
  <c r="I142" i="437"/>
  <c r="I143" i="437"/>
  <c r="I144" i="437"/>
  <c r="I145" i="437"/>
  <c r="I146" i="437"/>
  <c r="I147" i="437"/>
  <c r="I148" i="437"/>
  <c r="I149" i="437"/>
  <c r="I150" i="437"/>
  <c r="I151" i="437"/>
  <c r="I152" i="437"/>
  <c r="I153" i="437"/>
  <c r="I154" i="437"/>
  <c r="I155" i="437"/>
  <c r="I156" i="437"/>
  <c r="I157" i="437"/>
  <c r="I158" i="437"/>
  <c r="I159" i="437"/>
  <c r="I160" i="437"/>
  <c r="I161" i="437"/>
  <c r="I162" i="437"/>
  <c r="I163" i="437"/>
  <c r="I164" i="437"/>
  <c r="I165" i="437"/>
  <c r="I166" i="437"/>
  <c r="I167" i="437"/>
  <c r="I168" i="437"/>
  <c r="I169" i="437"/>
  <c r="I170" i="437"/>
  <c r="I171" i="437"/>
  <c r="I172" i="437"/>
  <c r="I173" i="437"/>
  <c r="I174" i="437"/>
  <c r="I175" i="437"/>
  <c r="I176" i="437"/>
  <c r="I177" i="437"/>
  <c r="I178" i="437"/>
  <c r="I179" i="437"/>
  <c r="I180" i="437"/>
  <c r="I181" i="437"/>
  <c r="I182" i="437"/>
  <c r="I183" i="437"/>
  <c r="I184" i="437"/>
  <c r="I185" i="437"/>
  <c r="I2" i="437"/>
  <c r="A2" i="437" s="1"/>
  <c r="P3" i="437"/>
  <c r="P4" i="437"/>
  <c r="P5" i="437"/>
  <c r="W5" i="437" s="1"/>
  <c r="P6" i="437"/>
  <c r="P7" i="437"/>
  <c r="W7" i="437" s="1"/>
  <c r="P8" i="437"/>
  <c r="P9" i="437"/>
  <c r="P10" i="437"/>
  <c r="P11" i="437"/>
  <c r="W11" i="437" s="1"/>
  <c r="P12" i="437"/>
  <c r="P13" i="437"/>
  <c r="W13" i="437" s="1"/>
  <c r="P14" i="437"/>
  <c r="P15" i="437"/>
  <c r="W15" i="437" s="1"/>
  <c r="P16" i="437"/>
  <c r="P17" i="437"/>
  <c r="P18" i="437"/>
  <c r="P19" i="437"/>
  <c r="P20" i="437"/>
  <c r="P21" i="437"/>
  <c r="W21" i="437" s="1"/>
  <c r="P22" i="437"/>
  <c r="P23" i="437"/>
  <c r="W23" i="437" s="1"/>
  <c r="P24" i="437"/>
  <c r="P25" i="437"/>
  <c r="P26" i="437"/>
  <c r="P27" i="437"/>
  <c r="P28" i="437"/>
  <c r="P29" i="437"/>
  <c r="W29" i="437" s="1"/>
  <c r="P30" i="437"/>
  <c r="P31" i="437"/>
  <c r="W31" i="437" s="1"/>
  <c r="P32" i="437"/>
  <c r="P33" i="437"/>
  <c r="W33" i="437" s="1"/>
  <c r="P34" i="437"/>
  <c r="P35" i="437"/>
  <c r="W35" i="437" s="1"/>
  <c r="P36" i="437"/>
  <c r="P37" i="437"/>
  <c r="W37" i="437" s="1"/>
  <c r="P38" i="437"/>
  <c r="P39" i="437"/>
  <c r="P40" i="437"/>
  <c r="P41" i="437"/>
  <c r="P42" i="437"/>
  <c r="P43" i="437"/>
  <c r="W43" i="437" s="1"/>
  <c r="P44" i="437"/>
  <c r="P45" i="437"/>
  <c r="W45" i="437" s="1"/>
  <c r="P46" i="437"/>
  <c r="P47" i="437"/>
  <c r="W47" i="437" s="1"/>
  <c r="P48" i="437"/>
  <c r="P49" i="437"/>
  <c r="P50" i="437"/>
  <c r="P51" i="437"/>
  <c r="P52" i="437"/>
  <c r="P53" i="437"/>
  <c r="W53" i="437" s="1"/>
  <c r="P54" i="437"/>
  <c r="P55" i="437"/>
  <c r="W55" i="437" s="1"/>
  <c r="P56" i="437"/>
  <c r="P57" i="437"/>
  <c r="W57" i="437" s="1"/>
  <c r="P58" i="437"/>
  <c r="P59" i="437"/>
  <c r="W59" i="437" s="1"/>
  <c r="P60" i="437"/>
  <c r="P61" i="437"/>
  <c r="W61" i="437" s="1"/>
  <c r="P62" i="437"/>
  <c r="P63" i="437"/>
  <c r="W63" i="437" s="1"/>
  <c r="P64" i="437"/>
  <c r="P65" i="437"/>
  <c r="P66" i="437"/>
  <c r="W66" i="437" s="1"/>
  <c r="P67" i="437"/>
  <c r="W67" i="437" s="1"/>
  <c r="P68" i="437"/>
  <c r="P69" i="437"/>
  <c r="W69" i="437" s="1"/>
  <c r="P70" i="437"/>
  <c r="P71" i="437"/>
  <c r="W71" i="437" s="1"/>
  <c r="P72" i="437"/>
  <c r="P73" i="437"/>
  <c r="P74" i="437"/>
  <c r="P75" i="437"/>
  <c r="W75" i="437" s="1"/>
  <c r="P76" i="437"/>
  <c r="P77" i="437"/>
  <c r="P78" i="437"/>
  <c r="P79" i="437"/>
  <c r="W79" i="437" s="1"/>
  <c r="P80" i="437"/>
  <c r="P81" i="437"/>
  <c r="W81" i="437" s="1"/>
  <c r="P82" i="437"/>
  <c r="P83" i="437"/>
  <c r="P84" i="437"/>
  <c r="P85" i="437"/>
  <c r="P86" i="437"/>
  <c r="P87" i="437"/>
  <c r="W87" i="437" s="1"/>
  <c r="P88" i="437"/>
  <c r="P89" i="437"/>
  <c r="W89" i="437" s="1"/>
  <c r="P90" i="437"/>
  <c r="P91" i="437"/>
  <c r="W91" i="437" s="1"/>
  <c r="P92" i="437"/>
  <c r="P93" i="437"/>
  <c r="W93" i="437" s="1"/>
  <c r="P94" i="437"/>
  <c r="P95" i="437"/>
  <c r="W95" i="437" s="1"/>
  <c r="P96" i="437"/>
  <c r="P97" i="437"/>
  <c r="P98" i="437"/>
  <c r="P99" i="437"/>
  <c r="W99" i="437" s="1"/>
  <c r="P100" i="437"/>
  <c r="P101" i="437"/>
  <c r="P102" i="437"/>
  <c r="P103" i="437"/>
  <c r="W103" i="437" s="1"/>
  <c r="P104" i="437"/>
  <c r="P105" i="437"/>
  <c r="W105" i="437" s="1"/>
  <c r="P106" i="437"/>
  <c r="P107" i="437"/>
  <c r="P108" i="437"/>
  <c r="P109" i="437"/>
  <c r="P110" i="437"/>
  <c r="W110" i="437" s="1"/>
  <c r="P111" i="437"/>
  <c r="W111" i="437" s="1"/>
  <c r="P112" i="437"/>
  <c r="P113" i="437"/>
  <c r="P114" i="437"/>
  <c r="P115" i="437"/>
  <c r="W115" i="437" s="1"/>
  <c r="P116" i="437"/>
  <c r="P117" i="437"/>
  <c r="W117" i="437" s="1"/>
  <c r="P118" i="437"/>
  <c r="P119" i="437"/>
  <c r="W119" i="437" s="1"/>
  <c r="P120" i="437"/>
  <c r="P121" i="437"/>
  <c r="W121" i="437" s="1"/>
  <c r="P122" i="437"/>
  <c r="P123" i="437"/>
  <c r="W123" i="437" s="1"/>
  <c r="P124" i="437"/>
  <c r="P125" i="437"/>
  <c r="P126" i="437"/>
  <c r="P127" i="437"/>
  <c r="P128" i="437"/>
  <c r="P129" i="437"/>
  <c r="P130" i="437"/>
  <c r="P131" i="437"/>
  <c r="P132" i="437"/>
  <c r="P133" i="437"/>
  <c r="P134" i="437"/>
  <c r="P135" i="437"/>
  <c r="W135" i="437" s="1"/>
  <c r="P136" i="437"/>
  <c r="P137" i="437"/>
  <c r="W137" i="437" s="1"/>
  <c r="P138" i="437"/>
  <c r="P139" i="437"/>
  <c r="W139" i="437" s="1"/>
  <c r="P140" i="437"/>
  <c r="P141" i="437"/>
  <c r="W141" i="437" s="1"/>
  <c r="P142" i="437"/>
  <c r="P143" i="437"/>
  <c r="W143" i="437" s="1"/>
  <c r="P144" i="437"/>
  <c r="P145" i="437"/>
  <c r="P146" i="437"/>
  <c r="P147" i="437"/>
  <c r="P148" i="437"/>
  <c r="P149" i="437"/>
  <c r="P150" i="437"/>
  <c r="P151" i="437"/>
  <c r="P152" i="437"/>
  <c r="P153" i="437"/>
  <c r="W153" i="437" s="1"/>
  <c r="P154" i="437"/>
  <c r="P155" i="437"/>
  <c r="W155" i="437" s="1"/>
  <c r="P156" i="437"/>
  <c r="P157" i="437"/>
  <c r="P158" i="437"/>
  <c r="P159" i="437"/>
  <c r="W159" i="437" s="1"/>
  <c r="P160" i="437"/>
  <c r="P161" i="437"/>
  <c r="W161" i="437" s="1"/>
  <c r="P162" i="437"/>
  <c r="P163" i="437"/>
  <c r="P164" i="437"/>
  <c r="P165" i="437"/>
  <c r="W165" i="437" s="1"/>
  <c r="P166" i="437"/>
  <c r="P167" i="437"/>
  <c r="W167" i="437" s="1"/>
  <c r="P168" i="437"/>
  <c r="P169" i="437"/>
  <c r="P170" i="437"/>
  <c r="P171" i="437"/>
  <c r="W171" i="437" s="1"/>
  <c r="P172" i="437"/>
  <c r="P173" i="437"/>
  <c r="P174" i="437"/>
  <c r="P175" i="437"/>
  <c r="W175" i="437" s="1"/>
  <c r="P176" i="437"/>
  <c r="P177" i="437"/>
  <c r="P178" i="437"/>
  <c r="P179" i="437"/>
  <c r="P180" i="437"/>
  <c r="P181" i="437"/>
  <c r="P182" i="437"/>
  <c r="P183" i="437"/>
  <c r="W183" i="437" s="1"/>
  <c r="P184" i="437"/>
  <c r="P185" i="437"/>
  <c r="W185" i="437" s="1"/>
  <c r="P2" i="437"/>
  <c r="W3" i="437"/>
  <c r="L3" i="436"/>
  <c r="L4" i="436"/>
  <c r="L5" i="436"/>
  <c r="L6" i="436"/>
  <c r="L7" i="436"/>
  <c r="L8" i="436"/>
  <c r="L9" i="436"/>
  <c r="L10" i="436"/>
  <c r="L11" i="436"/>
  <c r="L12" i="436"/>
  <c r="L13" i="436"/>
  <c r="L14" i="436"/>
  <c r="L15" i="436"/>
  <c r="L16" i="436"/>
  <c r="L17" i="436"/>
  <c r="L18" i="436"/>
  <c r="L19" i="436"/>
  <c r="L20" i="436"/>
  <c r="L21" i="436"/>
  <c r="L22" i="436"/>
  <c r="L23" i="436"/>
  <c r="L24" i="436"/>
  <c r="L25" i="436"/>
  <c r="L26" i="436"/>
  <c r="L27" i="436"/>
  <c r="L28" i="436"/>
  <c r="L29" i="436"/>
  <c r="L30" i="436"/>
  <c r="L31" i="436"/>
  <c r="L32" i="436"/>
  <c r="L33" i="436"/>
  <c r="L34" i="436"/>
  <c r="L35" i="436"/>
  <c r="L36" i="436"/>
  <c r="L37" i="436"/>
  <c r="L38" i="436"/>
  <c r="L39" i="436"/>
  <c r="L40" i="436"/>
  <c r="L41" i="436"/>
  <c r="L42" i="436"/>
  <c r="L43" i="436"/>
  <c r="L44" i="436"/>
  <c r="L45" i="436"/>
  <c r="L46" i="436"/>
  <c r="L47" i="436"/>
  <c r="L48" i="436"/>
  <c r="L49" i="436"/>
  <c r="L50" i="436"/>
  <c r="L51" i="436"/>
  <c r="L52" i="436"/>
  <c r="L53" i="436"/>
  <c r="L54" i="436"/>
  <c r="L55" i="436"/>
  <c r="L56" i="436"/>
  <c r="L57" i="436"/>
  <c r="L58" i="436"/>
  <c r="L59" i="436"/>
  <c r="L60" i="436"/>
  <c r="L61" i="436"/>
  <c r="L62" i="436"/>
  <c r="L63" i="436"/>
  <c r="L64" i="436"/>
  <c r="L65" i="436"/>
  <c r="L66" i="436"/>
  <c r="L67" i="436"/>
  <c r="L68" i="436"/>
  <c r="L69" i="436"/>
  <c r="L70" i="436"/>
  <c r="L71" i="436"/>
  <c r="L72" i="436"/>
  <c r="L73" i="436"/>
  <c r="L74" i="436"/>
  <c r="L75" i="436"/>
  <c r="L76" i="436"/>
  <c r="L77" i="436"/>
  <c r="L78" i="436"/>
  <c r="L79" i="436"/>
  <c r="L80" i="436"/>
  <c r="L81" i="436"/>
  <c r="L82" i="436"/>
  <c r="L83" i="436"/>
  <c r="L84" i="436"/>
  <c r="L85" i="436"/>
  <c r="L86" i="436"/>
  <c r="L87" i="436"/>
  <c r="L88" i="436"/>
  <c r="L89" i="436"/>
  <c r="L90" i="436"/>
  <c r="L91" i="436"/>
  <c r="L92" i="436"/>
  <c r="L93" i="436"/>
  <c r="L94" i="436"/>
  <c r="L95" i="436"/>
  <c r="L96" i="436"/>
  <c r="L97" i="436"/>
  <c r="L98" i="436"/>
  <c r="L99" i="436"/>
  <c r="L100" i="436"/>
  <c r="L101" i="436"/>
  <c r="L102" i="436"/>
  <c r="L2" i="436"/>
  <c r="E3" i="436"/>
  <c r="A3" i="436" s="1"/>
  <c r="E4" i="436"/>
  <c r="A4" i="436" s="1"/>
  <c r="E5" i="436"/>
  <c r="A5" i="436" s="1"/>
  <c r="E6" i="436"/>
  <c r="A6" i="436" s="1"/>
  <c r="E7" i="436"/>
  <c r="A7" i="436" s="1"/>
  <c r="E8" i="436"/>
  <c r="A8" i="436" s="1"/>
  <c r="E9" i="436"/>
  <c r="A9" i="436" s="1"/>
  <c r="E10" i="436"/>
  <c r="A10" i="436" s="1"/>
  <c r="E11" i="436"/>
  <c r="A11" i="436" s="1"/>
  <c r="E12" i="436"/>
  <c r="A12" i="436" s="1"/>
  <c r="E13" i="436"/>
  <c r="A13" i="436" s="1"/>
  <c r="E14" i="436"/>
  <c r="A14" i="436" s="1"/>
  <c r="E15" i="436"/>
  <c r="A15" i="436" s="1"/>
  <c r="E16" i="436"/>
  <c r="A16" i="436" s="1"/>
  <c r="E17" i="436"/>
  <c r="A17" i="436" s="1"/>
  <c r="E18" i="436"/>
  <c r="A18" i="436" s="1"/>
  <c r="E19" i="436"/>
  <c r="A19" i="436" s="1"/>
  <c r="E20" i="436"/>
  <c r="A20" i="436" s="1"/>
  <c r="E21" i="436"/>
  <c r="A21" i="436" s="1"/>
  <c r="E22" i="436"/>
  <c r="A22" i="436" s="1"/>
  <c r="E23" i="436"/>
  <c r="A23" i="436" s="1"/>
  <c r="E24" i="436"/>
  <c r="A24" i="436" s="1"/>
  <c r="E25" i="436"/>
  <c r="A25" i="436" s="1"/>
  <c r="E26" i="436"/>
  <c r="A26" i="436" s="1"/>
  <c r="E27" i="436"/>
  <c r="A27" i="436" s="1"/>
  <c r="E28" i="436"/>
  <c r="A28" i="436" s="1"/>
  <c r="E29" i="436"/>
  <c r="A29" i="436" s="1"/>
  <c r="E30" i="436"/>
  <c r="A30" i="436" s="1"/>
  <c r="E31" i="436"/>
  <c r="A31" i="436" s="1"/>
  <c r="E32" i="436"/>
  <c r="A32" i="436" s="1"/>
  <c r="E33" i="436"/>
  <c r="A33" i="436" s="1"/>
  <c r="E34" i="436"/>
  <c r="A34" i="436" s="1"/>
  <c r="E35" i="436"/>
  <c r="A35" i="436" s="1"/>
  <c r="E36" i="436"/>
  <c r="A36" i="436" s="1"/>
  <c r="E37" i="436"/>
  <c r="A37" i="436" s="1"/>
  <c r="E38" i="436"/>
  <c r="A38" i="436" s="1"/>
  <c r="E39" i="436"/>
  <c r="A39" i="436" s="1"/>
  <c r="E40" i="436"/>
  <c r="A40" i="436" s="1"/>
  <c r="E41" i="436"/>
  <c r="A41" i="436" s="1"/>
  <c r="E42" i="436"/>
  <c r="A42" i="436" s="1"/>
  <c r="E43" i="436"/>
  <c r="A43" i="436" s="1"/>
  <c r="E44" i="436"/>
  <c r="A44" i="436" s="1"/>
  <c r="E45" i="436"/>
  <c r="A45" i="436" s="1"/>
  <c r="E46" i="436"/>
  <c r="A46" i="436" s="1"/>
  <c r="E47" i="436"/>
  <c r="A47" i="436" s="1"/>
  <c r="E48" i="436"/>
  <c r="A48" i="436" s="1"/>
  <c r="E49" i="436"/>
  <c r="A49" i="436" s="1"/>
  <c r="E50" i="436"/>
  <c r="A50" i="436" s="1"/>
  <c r="E51" i="436"/>
  <c r="A51" i="436" s="1"/>
  <c r="E52" i="436"/>
  <c r="A52" i="436" s="1"/>
  <c r="E53" i="436"/>
  <c r="A53" i="436" s="1"/>
  <c r="E54" i="436"/>
  <c r="A54" i="436" s="1"/>
  <c r="E55" i="436"/>
  <c r="A55" i="436" s="1"/>
  <c r="E56" i="436"/>
  <c r="A56" i="436" s="1"/>
  <c r="E57" i="436"/>
  <c r="A57" i="436" s="1"/>
  <c r="E58" i="436"/>
  <c r="A58" i="436" s="1"/>
  <c r="E59" i="436"/>
  <c r="A59" i="436" s="1"/>
  <c r="E60" i="436"/>
  <c r="A60" i="436" s="1"/>
  <c r="E61" i="436"/>
  <c r="A61" i="436" s="1"/>
  <c r="E62" i="436"/>
  <c r="A62" i="436" s="1"/>
  <c r="E63" i="436"/>
  <c r="A63" i="436" s="1"/>
  <c r="E64" i="436"/>
  <c r="A64" i="436" s="1"/>
  <c r="E65" i="436"/>
  <c r="A65" i="436" s="1"/>
  <c r="E66" i="436"/>
  <c r="A66" i="436" s="1"/>
  <c r="E67" i="436"/>
  <c r="A67" i="436" s="1"/>
  <c r="E68" i="436"/>
  <c r="A68" i="436" s="1"/>
  <c r="E69" i="436"/>
  <c r="A69" i="436" s="1"/>
  <c r="E70" i="436"/>
  <c r="A70" i="436" s="1"/>
  <c r="E71" i="436"/>
  <c r="A71" i="436" s="1"/>
  <c r="E72" i="436"/>
  <c r="A72" i="436" s="1"/>
  <c r="E73" i="436"/>
  <c r="A73" i="436" s="1"/>
  <c r="E74" i="436"/>
  <c r="A74" i="436" s="1"/>
  <c r="E75" i="436"/>
  <c r="A75" i="436" s="1"/>
  <c r="E76" i="436"/>
  <c r="A76" i="436" s="1"/>
  <c r="E77" i="436"/>
  <c r="A77" i="436" s="1"/>
  <c r="E78" i="436"/>
  <c r="A78" i="436" s="1"/>
  <c r="E79" i="436"/>
  <c r="A79" i="436" s="1"/>
  <c r="E80" i="436"/>
  <c r="A80" i="436" s="1"/>
  <c r="E81" i="436"/>
  <c r="A81" i="436" s="1"/>
  <c r="E82" i="436"/>
  <c r="A82" i="436" s="1"/>
  <c r="E83" i="436"/>
  <c r="A83" i="436" s="1"/>
  <c r="E84" i="436"/>
  <c r="A84" i="436" s="1"/>
  <c r="E85" i="436"/>
  <c r="A85" i="436" s="1"/>
  <c r="E86" i="436"/>
  <c r="A86" i="436" s="1"/>
  <c r="E87" i="436"/>
  <c r="A87" i="436" s="1"/>
  <c r="E88" i="436"/>
  <c r="A88" i="436" s="1"/>
  <c r="E89" i="436"/>
  <c r="A89" i="436" s="1"/>
  <c r="E90" i="436"/>
  <c r="A90" i="436" s="1"/>
  <c r="E91" i="436"/>
  <c r="A91" i="436" s="1"/>
  <c r="E92" i="436"/>
  <c r="A92" i="436" s="1"/>
  <c r="E93" i="436"/>
  <c r="A93" i="436" s="1"/>
  <c r="E94" i="436"/>
  <c r="A94" i="436" s="1"/>
  <c r="E95" i="436"/>
  <c r="A95" i="436" s="1"/>
  <c r="E96" i="436"/>
  <c r="A96" i="436" s="1"/>
  <c r="E97" i="436"/>
  <c r="A97" i="436" s="1"/>
  <c r="E98" i="436"/>
  <c r="A98" i="436" s="1"/>
  <c r="E99" i="436"/>
  <c r="A99" i="436" s="1"/>
  <c r="E100" i="436"/>
  <c r="A100" i="436" s="1"/>
  <c r="E101" i="436"/>
  <c r="A101" i="436" s="1"/>
  <c r="E102" i="436"/>
  <c r="A102" i="436" s="1"/>
  <c r="E2" i="436"/>
  <c r="A2" i="436" s="1"/>
  <c r="W145" i="437" l="1"/>
  <c r="W113" i="437"/>
  <c r="A5" i="440"/>
  <c r="B5" i="115"/>
  <c r="D5" i="115" s="1"/>
  <c r="A3" i="440"/>
  <c r="B3" i="115"/>
  <c r="D3" i="115" s="1"/>
  <c r="A12" i="440"/>
  <c r="B12" i="115"/>
  <c r="D12" i="115" s="1"/>
  <c r="A4" i="440"/>
  <c r="B4" i="115"/>
  <c r="D4" i="115" s="1"/>
  <c r="A11" i="440"/>
  <c r="B11" i="115"/>
  <c r="D11" i="115" s="1"/>
  <c r="A2" i="440"/>
  <c r="B2" i="115"/>
  <c r="A10" i="440"/>
  <c r="B10" i="115"/>
  <c r="D10" i="115" s="1"/>
  <c r="C15" i="115"/>
  <c r="A9" i="440"/>
  <c r="B9" i="115"/>
  <c r="D9" i="115" s="1"/>
  <c r="A8" i="440"/>
  <c r="B8" i="115"/>
  <c r="D8" i="115" s="1"/>
  <c r="A7" i="440"/>
  <c r="B7" i="115"/>
  <c r="D7" i="115" s="1"/>
  <c r="A6" i="440"/>
  <c r="B6" i="115"/>
  <c r="D6" i="115" s="1"/>
  <c r="W17" i="437"/>
  <c r="Y180" i="437"/>
  <c r="A180" i="437"/>
  <c r="Y172" i="437"/>
  <c r="A172" i="437"/>
  <c r="Y164" i="437"/>
  <c r="A164" i="437"/>
  <c r="Y156" i="437"/>
  <c r="A156" i="437"/>
  <c r="Y148" i="437"/>
  <c r="A148" i="437"/>
  <c r="Y140" i="437"/>
  <c r="A140" i="437"/>
  <c r="Y132" i="437"/>
  <c r="A132" i="437"/>
  <c r="Y124" i="437"/>
  <c r="A124" i="437"/>
  <c r="Y116" i="437"/>
  <c r="A116" i="437"/>
  <c r="Y108" i="437"/>
  <c r="A108" i="437"/>
  <c r="Y100" i="437"/>
  <c r="A100" i="437"/>
  <c r="Y92" i="437"/>
  <c r="A92" i="437"/>
  <c r="Y84" i="437"/>
  <c r="A84" i="437"/>
  <c r="Y76" i="437"/>
  <c r="A76" i="437"/>
  <c r="Y68" i="437"/>
  <c r="A68" i="437"/>
  <c r="Y60" i="437"/>
  <c r="A60" i="437"/>
  <c r="Y52" i="437"/>
  <c r="A52" i="437"/>
  <c r="Y44" i="437"/>
  <c r="A44" i="437"/>
  <c r="Y36" i="437"/>
  <c r="A36" i="437"/>
  <c r="Y28" i="437"/>
  <c r="A28" i="437"/>
  <c r="Y20" i="437"/>
  <c r="A20" i="437"/>
  <c r="Y12" i="437"/>
  <c r="A12" i="437"/>
  <c r="Y4" i="437"/>
  <c r="A4" i="437"/>
  <c r="N18" i="439"/>
  <c r="A18" i="439"/>
  <c r="N10" i="439"/>
  <c r="A10" i="439"/>
  <c r="Y179" i="437"/>
  <c r="A179" i="437"/>
  <c r="Y171" i="437"/>
  <c r="A171" i="437"/>
  <c r="Y163" i="437"/>
  <c r="A163" i="437"/>
  <c r="Y155" i="437"/>
  <c r="A155" i="437"/>
  <c r="Y147" i="437"/>
  <c r="A147" i="437"/>
  <c r="Y139" i="437"/>
  <c r="A139" i="437"/>
  <c r="Y131" i="437"/>
  <c r="A131" i="437"/>
  <c r="Y123" i="437"/>
  <c r="A123" i="437"/>
  <c r="Y115" i="437"/>
  <c r="A115" i="437"/>
  <c r="Y107" i="437"/>
  <c r="A107" i="437"/>
  <c r="Y99" i="437"/>
  <c r="A99" i="437"/>
  <c r="Y91" i="437"/>
  <c r="A91" i="437"/>
  <c r="Y83" i="437"/>
  <c r="A83" i="437"/>
  <c r="Y75" i="437"/>
  <c r="A75" i="437"/>
  <c r="Y67" i="437"/>
  <c r="A67" i="437"/>
  <c r="Y59" i="437"/>
  <c r="A59" i="437"/>
  <c r="Y51" i="437"/>
  <c r="A51" i="437"/>
  <c r="Y43" i="437"/>
  <c r="A43" i="437"/>
  <c r="Y35" i="437"/>
  <c r="A35" i="437"/>
  <c r="Y27" i="437"/>
  <c r="A27" i="437"/>
  <c r="Y19" i="437"/>
  <c r="A19" i="437"/>
  <c r="Y11" i="437"/>
  <c r="A11" i="437"/>
  <c r="Y3" i="437"/>
  <c r="A3" i="437"/>
  <c r="N17" i="439"/>
  <c r="A17" i="439"/>
  <c r="N9" i="439"/>
  <c r="A9" i="439"/>
  <c r="Y178" i="437"/>
  <c r="A178" i="437"/>
  <c r="Y170" i="437"/>
  <c r="A170" i="437"/>
  <c r="Y162" i="437"/>
  <c r="A162" i="437"/>
  <c r="Y154" i="437"/>
  <c r="A154" i="437"/>
  <c r="Y146" i="437"/>
  <c r="A146" i="437"/>
  <c r="Y138" i="437"/>
  <c r="A138" i="437"/>
  <c r="Y130" i="437"/>
  <c r="A130" i="437"/>
  <c r="Y122" i="437"/>
  <c r="A122" i="437"/>
  <c r="Y114" i="437"/>
  <c r="A114" i="437"/>
  <c r="Y106" i="437"/>
  <c r="A106" i="437"/>
  <c r="Y98" i="437"/>
  <c r="A98" i="437"/>
  <c r="Y90" i="437"/>
  <c r="A90" i="437"/>
  <c r="Y82" i="437"/>
  <c r="A82" i="437"/>
  <c r="Y74" i="437"/>
  <c r="A74" i="437"/>
  <c r="Y66" i="437"/>
  <c r="A66" i="437"/>
  <c r="Y58" i="437"/>
  <c r="A58" i="437"/>
  <c r="Y50" i="437"/>
  <c r="A50" i="437"/>
  <c r="Y42" i="437"/>
  <c r="A42" i="437"/>
  <c r="Y34" i="437"/>
  <c r="A34" i="437"/>
  <c r="Y26" i="437"/>
  <c r="A26" i="437"/>
  <c r="Y18" i="437"/>
  <c r="A18" i="437"/>
  <c r="Y10" i="437"/>
  <c r="A10" i="437"/>
  <c r="N16" i="439"/>
  <c r="A16" i="439"/>
  <c r="N8" i="439"/>
  <c r="A8" i="439"/>
  <c r="Y185" i="437"/>
  <c r="A185" i="437"/>
  <c r="Y177" i="437"/>
  <c r="A177" i="437"/>
  <c r="Y169" i="437"/>
  <c r="A169" i="437"/>
  <c r="Y161" i="437"/>
  <c r="A161" i="437"/>
  <c r="Y153" i="437"/>
  <c r="A153" i="437"/>
  <c r="Y145" i="437"/>
  <c r="A145" i="437"/>
  <c r="Y137" i="437"/>
  <c r="A137" i="437"/>
  <c r="Y129" i="437"/>
  <c r="A129" i="437"/>
  <c r="Y121" i="437"/>
  <c r="A121" i="437"/>
  <c r="Y113" i="437"/>
  <c r="A113" i="437"/>
  <c r="Y105" i="437"/>
  <c r="A105" i="437"/>
  <c r="Y97" i="437"/>
  <c r="A97" i="437"/>
  <c r="Y89" i="437"/>
  <c r="A89" i="437"/>
  <c r="Y81" i="437"/>
  <c r="A81" i="437"/>
  <c r="Y73" i="437"/>
  <c r="A73" i="437"/>
  <c r="Y65" i="437"/>
  <c r="A65" i="437"/>
  <c r="Y57" i="437"/>
  <c r="A57" i="437"/>
  <c r="Y49" i="437"/>
  <c r="A49" i="437"/>
  <c r="Y41" i="437"/>
  <c r="A41" i="437"/>
  <c r="Y33" i="437"/>
  <c r="A33" i="437"/>
  <c r="Y25" i="437"/>
  <c r="A25" i="437"/>
  <c r="Y17" i="437"/>
  <c r="A17" i="437"/>
  <c r="Y9" i="437"/>
  <c r="A9" i="437"/>
  <c r="N15" i="439"/>
  <c r="A15" i="439"/>
  <c r="N7" i="439"/>
  <c r="A7" i="439"/>
  <c r="Y184" i="437"/>
  <c r="A184" i="437"/>
  <c r="Y176" i="437"/>
  <c r="A176" i="437"/>
  <c r="Y168" i="437"/>
  <c r="A168" i="437"/>
  <c r="Y160" i="437"/>
  <c r="A160" i="437"/>
  <c r="Y152" i="437"/>
  <c r="A152" i="437"/>
  <c r="Y144" i="437"/>
  <c r="A144" i="437"/>
  <c r="Y136" i="437"/>
  <c r="A136" i="437"/>
  <c r="Y128" i="437"/>
  <c r="A128" i="437"/>
  <c r="Y120" i="437"/>
  <c r="A120" i="437"/>
  <c r="Y112" i="437"/>
  <c r="A112" i="437"/>
  <c r="Y104" i="437"/>
  <c r="A104" i="437"/>
  <c r="Y96" i="437"/>
  <c r="A96" i="437"/>
  <c r="Y88" i="437"/>
  <c r="A88" i="437"/>
  <c r="Y80" i="437"/>
  <c r="A80" i="437"/>
  <c r="Y72" i="437"/>
  <c r="A72" i="437"/>
  <c r="Y64" i="437"/>
  <c r="A64" i="437"/>
  <c r="Y56" i="437"/>
  <c r="A56" i="437"/>
  <c r="Y48" i="437"/>
  <c r="A48" i="437"/>
  <c r="Y40" i="437"/>
  <c r="A40" i="437"/>
  <c r="Y32" i="437"/>
  <c r="A32" i="437"/>
  <c r="Y24" i="437"/>
  <c r="A24" i="437"/>
  <c r="Y16" i="437"/>
  <c r="A16" i="437"/>
  <c r="Y8" i="437"/>
  <c r="A8" i="437"/>
  <c r="N14" i="439"/>
  <c r="A14" i="439"/>
  <c r="N6" i="439"/>
  <c r="A6" i="439"/>
  <c r="Y183" i="437"/>
  <c r="A183" i="437"/>
  <c r="Y175" i="437"/>
  <c r="A175" i="437"/>
  <c r="Y167" i="437"/>
  <c r="A167" i="437"/>
  <c r="Y159" i="437"/>
  <c r="A159" i="437"/>
  <c r="Y151" i="437"/>
  <c r="A151" i="437"/>
  <c r="Y143" i="437"/>
  <c r="A143" i="437"/>
  <c r="Y135" i="437"/>
  <c r="A135" i="437"/>
  <c r="Y127" i="437"/>
  <c r="A127" i="437"/>
  <c r="Y119" i="437"/>
  <c r="A119" i="437"/>
  <c r="Y111" i="437"/>
  <c r="A111" i="437"/>
  <c r="Y103" i="437"/>
  <c r="A103" i="437"/>
  <c r="Y95" i="437"/>
  <c r="A95" i="437"/>
  <c r="Y87" i="437"/>
  <c r="A87" i="437"/>
  <c r="Y79" i="437"/>
  <c r="A79" i="437"/>
  <c r="Y71" i="437"/>
  <c r="A71" i="437"/>
  <c r="Y63" i="437"/>
  <c r="A63" i="437"/>
  <c r="Y55" i="437"/>
  <c r="A55" i="437"/>
  <c r="Y47" i="437"/>
  <c r="A47" i="437"/>
  <c r="Y39" i="437"/>
  <c r="A39" i="437"/>
  <c r="Y31" i="437"/>
  <c r="A31" i="437"/>
  <c r="Y23" i="437"/>
  <c r="A23" i="437"/>
  <c r="Y15" i="437"/>
  <c r="A15" i="437"/>
  <c r="Y7" i="437"/>
  <c r="A7" i="437"/>
  <c r="N13" i="439"/>
  <c r="A13" i="439"/>
  <c r="N5" i="439"/>
  <c r="A5" i="439"/>
  <c r="Y182" i="437"/>
  <c r="A182" i="437"/>
  <c r="Y174" i="437"/>
  <c r="A174" i="437"/>
  <c r="Y166" i="437"/>
  <c r="A166" i="437"/>
  <c r="Y158" i="437"/>
  <c r="A158" i="437"/>
  <c r="Y150" i="437"/>
  <c r="A150" i="437"/>
  <c r="Y142" i="437"/>
  <c r="A142" i="437"/>
  <c r="Y134" i="437"/>
  <c r="A134" i="437"/>
  <c r="Y126" i="437"/>
  <c r="A126" i="437"/>
  <c r="Y118" i="437"/>
  <c r="A118" i="437"/>
  <c r="Y110" i="437"/>
  <c r="A110" i="437"/>
  <c r="Y102" i="437"/>
  <c r="A102" i="437"/>
  <c r="Y94" i="437"/>
  <c r="A94" i="437"/>
  <c r="Y86" i="437"/>
  <c r="A86" i="437"/>
  <c r="Y78" i="437"/>
  <c r="A78" i="437"/>
  <c r="Y70" i="437"/>
  <c r="A70" i="437"/>
  <c r="Y62" i="437"/>
  <c r="A62" i="437"/>
  <c r="Y54" i="437"/>
  <c r="A54" i="437"/>
  <c r="Y46" i="437"/>
  <c r="A46" i="437"/>
  <c r="Y38" i="437"/>
  <c r="A38" i="437"/>
  <c r="Y30" i="437"/>
  <c r="A30" i="437"/>
  <c r="Y22" i="437"/>
  <c r="A22" i="437"/>
  <c r="Y14" i="437"/>
  <c r="A14" i="437"/>
  <c r="Y6" i="437"/>
  <c r="A6" i="437"/>
  <c r="N2" i="439"/>
  <c r="A2" i="439"/>
  <c r="N12" i="439"/>
  <c r="A12" i="439"/>
  <c r="N4" i="439"/>
  <c r="A4" i="439"/>
  <c r="Y181" i="437"/>
  <c r="A181" i="437"/>
  <c r="Y173" i="437"/>
  <c r="A173" i="437"/>
  <c r="Y165" i="437"/>
  <c r="A165" i="437"/>
  <c r="Y157" i="437"/>
  <c r="A157" i="437"/>
  <c r="Y149" i="437"/>
  <c r="A149" i="437"/>
  <c r="Y141" i="437"/>
  <c r="A141" i="437"/>
  <c r="Y133" i="437"/>
  <c r="A133" i="437"/>
  <c r="Y125" i="437"/>
  <c r="A125" i="437"/>
  <c r="Y117" i="437"/>
  <c r="A117" i="437"/>
  <c r="Y109" i="437"/>
  <c r="A109" i="437"/>
  <c r="Y101" i="437"/>
  <c r="A101" i="437"/>
  <c r="Y93" i="437"/>
  <c r="A93" i="437"/>
  <c r="Y85" i="437"/>
  <c r="A85" i="437"/>
  <c r="Y77" i="437"/>
  <c r="A77" i="437"/>
  <c r="Y69" i="437"/>
  <c r="A69" i="437"/>
  <c r="Y61" i="437"/>
  <c r="A61" i="437"/>
  <c r="Y53" i="437"/>
  <c r="A53" i="437"/>
  <c r="Y45" i="437"/>
  <c r="A45" i="437"/>
  <c r="Y37" i="437"/>
  <c r="A37" i="437"/>
  <c r="Y29" i="437"/>
  <c r="A29" i="437"/>
  <c r="Y21" i="437"/>
  <c r="A21" i="437"/>
  <c r="Y13" i="437"/>
  <c r="A13" i="437"/>
  <c r="Y5" i="437"/>
  <c r="A5" i="437"/>
  <c r="N19" i="439"/>
  <c r="A19" i="439"/>
  <c r="N11" i="439"/>
  <c r="A11" i="439"/>
  <c r="N3" i="439"/>
  <c r="A3" i="439"/>
  <c r="W150" i="437"/>
  <c r="W54" i="437"/>
  <c r="S91" i="436"/>
  <c r="S67" i="436"/>
  <c r="S51" i="436"/>
  <c r="S43" i="436"/>
  <c r="S35" i="436"/>
  <c r="S27" i="436"/>
  <c r="S19" i="436"/>
  <c r="S11" i="436"/>
  <c r="S3" i="436"/>
  <c r="S75" i="436"/>
  <c r="S99" i="436"/>
  <c r="S59" i="436"/>
  <c r="S83" i="436"/>
  <c r="W151" i="437"/>
  <c r="W39" i="437"/>
  <c r="AF21" i="438"/>
  <c r="AF13" i="438"/>
  <c r="AF5" i="438"/>
  <c r="W130" i="437"/>
  <c r="S100" i="436"/>
  <c r="S92" i="436"/>
  <c r="S84" i="436"/>
  <c r="S76" i="436"/>
  <c r="S68" i="436"/>
  <c r="S60" i="436"/>
  <c r="S52" i="436"/>
  <c r="S44" i="436"/>
  <c r="S36" i="436"/>
  <c r="S28" i="436"/>
  <c r="S20" i="436"/>
  <c r="S12" i="436"/>
  <c r="S4" i="436"/>
  <c r="W109" i="437"/>
  <c r="W73" i="437"/>
  <c r="W127" i="437"/>
  <c r="W72" i="437"/>
  <c r="AF22" i="438"/>
  <c r="AF14" i="438"/>
  <c r="W176" i="437"/>
  <c r="W32" i="437"/>
  <c r="W104" i="437"/>
  <c r="W88" i="437"/>
  <c r="W16" i="437"/>
  <c r="W136" i="437"/>
  <c r="S2" i="436"/>
  <c r="S95" i="436"/>
  <c r="S87" i="436"/>
  <c r="S79" i="436"/>
  <c r="S71" i="436"/>
  <c r="S63" i="436"/>
  <c r="S55" i="436"/>
  <c r="S47" i="436"/>
  <c r="S39" i="436"/>
  <c r="S31" i="436"/>
  <c r="S23" i="436"/>
  <c r="S15" i="436"/>
  <c r="S7" i="436"/>
  <c r="W118" i="437"/>
  <c r="W62" i="437"/>
  <c r="W22" i="437"/>
  <c r="W182" i="437"/>
  <c r="W142" i="437"/>
  <c r="W86" i="437"/>
  <c r="W46" i="437"/>
  <c r="W14" i="437"/>
  <c r="W78" i="437"/>
  <c r="W6" i="437"/>
  <c r="W174" i="437"/>
  <c r="W134" i="437"/>
  <c r="W38" i="437"/>
  <c r="W166" i="437"/>
  <c r="W158" i="437"/>
  <c r="W102" i="437"/>
  <c r="W70" i="437"/>
  <c r="W30" i="437"/>
  <c r="W126" i="437"/>
  <c r="W94" i="437"/>
  <c r="W85" i="437"/>
  <c r="W27" i="437"/>
  <c r="W179" i="437"/>
  <c r="W83" i="437"/>
  <c r="AB12" i="438"/>
  <c r="W147" i="437"/>
  <c r="W125" i="437"/>
  <c r="W51" i="437"/>
  <c r="W101" i="437"/>
  <c r="W77" i="437"/>
  <c r="W19" i="437"/>
  <c r="S97" i="436"/>
  <c r="S89" i="436"/>
  <c r="S65" i="436"/>
  <c r="S57" i="436"/>
  <c r="S33" i="436"/>
  <c r="S25" i="436"/>
  <c r="W131" i="437"/>
  <c r="W107" i="437"/>
  <c r="W169" i="437"/>
  <c r="W152" i="437"/>
  <c r="W120" i="437"/>
  <c r="W49" i="437"/>
  <c r="W168" i="437"/>
  <c r="W65" i="437"/>
  <c r="W48" i="437"/>
  <c r="W9" i="437"/>
  <c r="AB21" i="438"/>
  <c r="W184" i="437"/>
  <c r="W129" i="437"/>
  <c r="W112" i="437"/>
  <c r="W64" i="437"/>
  <c r="W25" i="437"/>
  <c r="W8" i="437"/>
  <c r="W128" i="437"/>
  <c r="W97" i="437"/>
  <c r="W80" i="437"/>
  <c r="W41" i="437"/>
  <c r="W24" i="437"/>
  <c r="W160" i="437"/>
  <c r="W144" i="437"/>
  <c r="W96" i="437"/>
  <c r="W40" i="437"/>
  <c r="AB4" i="438"/>
  <c r="W177" i="437"/>
  <c r="W56" i="437"/>
  <c r="W173" i="437"/>
  <c r="W149" i="437"/>
  <c r="W181" i="437"/>
  <c r="W157" i="437"/>
  <c r="W133" i="437"/>
  <c r="W163" i="437"/>
  <c r="S81" i="436"/>
  <c r="S73" i="436"/>
  <c r="S49" i="436"/>
  <c r="S41" i="436"/>
  <c r="S17" i="436"/>
  <c r="S9" i="436"/>
  <c r="S102" i="436"/>
  <c r="S94" i="436"/>
  <c r="S86" i="436"/>
  <c r="S78" i="436"/>
  <c r="S70" i="436"/>
  <c r="S62" i="436"/>
  <c r="S54" i="436"/>
  <c r="S46" i="436"/>
  <c r="S38" i="436"/>
  <c r="S30" i="436"/>
  <c r="S22" i="436"/>
  <c r="W122" i="437"/>
  <c r="W58" i="437"/>
  <c r="AF6" i="438"/>
  <c r="W138" i="437"/>
  <c r="W74" i="437"/>
  <c r="W10" i="437"/>
  <c r="W146" i="437"/>
  <c r="W82" i="437"/>
  <c r="W18" i="437"/>
  <c r="S90" i="436"/>
  <c r="S58" i="436"/>
  <c r="S34" i="436"/>
  <c r="S26" i="436"/>
  <c r="W154" i="437"/>
  <c r="W90" i="437"/>
  <c r="W26" i="437"/>
  <c r="S98" i="436"/>
  <c r="S66" i="436"/>
  <c r="W162" i="437"/>
  <c r="W98" i="437"/>
  <c r="W34" i="437"/>
  <c r="AF2" i="438"/>
  <c r="AF17" i="438"/>
  <c r="S96" i="436"/>
  <c r="S88" i="436"/>
  <c r="S80" i="436"/>
  <c r="S72" i="436"/>
  <c r="S64" i="436"/>
  <c r="S56" i="436"/>
  <c r="S48" i="436"/>
  <c r="S40" i="436"/>
  <c r="S32" i="436"/>
  <c r="S24" i="436"/>
  <c r="S16" i="436"/>
  <c r="S8" i="436"/>
  <c r="W170" i="437"/>
  <c r="W106" i="437"/>
  <c r="W42" i="437"/>
  <c r="W178" i="437"/>
  <c r="W114" i="437"/>
  <c r="W50" i="437"/>
  <c r="AB18" i="438"/>
  <c r="AB13" i="438"/>
  <c r="AB5" i="438"/>
  <c r="AB2" i="438"/>
  <c r="W180" i="437"/>
  <c r="W172" i="437"/>
  <c r="W164" i="437"/>
  <c r="W156" i="437"/>
  <c r="W148" i="437"/>
  <c r="W140" i="437"/>
  <c r="W132" i="437"/>
  <c r="W124" i="437"/>
  <c r="W116" i="437"/>
  <c r="W108" i="437"/>
  <c r="W100" i="437"/>
  <c r="W92" i="437"/>
  <c r="W84" i="437"/>
  <c r="W76" i="437"/>
  <c r="W68" i="437"/>
  <c r="W60" i="437"/>
  <c r="W52" i="437"/>
  <c r="W44" i="437"/>
  <c r="W36" i="437"/>
  <c r="W28" i="437"/>
  <c r="W20" i="437"/>
  <c r="W12" i="437"/>
  <c r="AB23" i="438"/>
  <c r="AB15" i="438"/>
  <c r="AF9" i="438"/>
  <c r="AB22" i="438"/>
  <c r="AB14" i="438"/>
  <c r="AB6" i="438"/>
  <c r="S18" i="436"/>
  <c r="S101" i="436"/>
  <c r="S93" i="436"/>
  <c r="S85" i="436"/>
  <c r="S77" i="436"/>
  <c r="S69" i="436"/>
  <c r="S61" i="436"/>
  <c r="S53" i="436"/>
  <c r="S45" i="436"/>
  <c r="S37" i="436"/>
  <c r="S29" i="436"/>
  <c r="S21" i="436"/>
  <c r="S13" i="436"/>
  <c r="S5" i="436"/>
  <c r="AB20" i="438"/>
  <c r="S50" i="436"/>
  <c r="S74" i="436"/>
  <c r="S42" i="436"/>
  <c r="S10" i="436"/>
  <c r="S82" i="436"/>
  <c r="S14" i="436"/>
  <c r="S6" i="436"/>
  <c r="AF20" i="438"/>
  <c r="AF12" i="438"/>
  <c r="AF19" i="438"/>
  <c r="AF11" i="438"/>
  <c r="AF3" i="438"/>
  <c r="AB19" i="438"/>
  <c r="AB11" i="438"/>
  <c r="AB3" i="438"/>
  <c r="AB10" i="438"/>
  <c r="AB17" i="438"/>
  <c r="AB9" i="438"/>
  <c r="AB7" i="438"/>
  <c r="AF18" i="438"/>
  <c r="AF10" i="438"/>
  <c r="AF16" i="438"/>
  <c r="AF8" i="438"/>
  <c r="AF24" i="438"/>
  <c r="AF23" i="438"/>
  <c r="AF15" i="438"/>
  <c r="AF7" i="438"/>
  <c r="AF4" i="438"/>
  <c r="AB24" i="438"/>
  <c r="AB16" i="438"/>
  <c r="AB8" i="438"/>
  <c r="W4" i="437"/>
  <c r="W2" i="437"/>
  <c r="Y2" i="437"/>
  <c r="B15" i="115" l="1"/>
  <c r="D2" i="115"/>
  <c r="D15" i="115" s="1"/>
  <c r="A21" i="435"/>
  <c r="A20" i="435"/>
  <c r="A19" i="435"/>
  <c r="A18" i="435"/>
  <c r="A17" i="435"/>
  <c r="A16" i="435"/>
  <c r="A15" i="435"/>
  <c r="A14" i="435"/>
  <c r="A13" i="435"/>
  <c r="A12" i="435"/>
  <c r="A11" i="435"/>
  <c r="A10" i="435"/>
  <c r="A9" i="435"/>
  <c r="A8" i="435"/>
  <c r="A7" i="435"/>
  <c r="A6" i="435"/>
  <c r="A5" i="435"/>
  <c r="A4" i="435"/>
  <c r="A3" i="435"/>
  <c r="A2" i="435"/>
  <c r="Q2" i="434"/>
  <c r="L3" i="434"/>
  <c r="L4" i="434"/>
  <c r="L5" i="434"/>
  <c r="L6" i="434"/>
  <c r="L7" i="434"/>
  <c r="L8" i="434"/>
  <c r="L9" i="434"/>
  <c r="L10" i="434"/>
  <c r="L11" i="434"/>
  <c r="L12" i="434"/>
  <c r="L13" i="434"/>
  <c r="L14" i="434"/>
  <c r="L15" i="434"/>
  <c r="L16" i="434"/>
  <c r="L17" i="434"/>
  <c r="L18" i="434"/>
  <c r="L19" i="434"/>
  <c r="L20" i="434"/>
  <c r="L21" i="434"/>
  <c r="L2" i="434"/>
  <c r="A353" i="434" l="1"/>
  <c r="A352" i="434"/>
  <c r="A351" i="434"/>
  <c r="A350" i="434"/>
  <c r="A349" i="434"/>
  <c r="A348" i="434"/>
  <c r="A347" i="434"/>
  <c r="A346" i="434"/>
  <c r="A345" i="434"/>
  <c r="A344" i="434"/>
  <c r="Q343" i="434"/>
  <c r="A343" i="434"/>
  <c r="Q342" i="434"/>
  <c r="A342" i="434"/>
  <c r="Q341" i="434"/>
  <c r="A341" i="434"/>
  <c r="Q340" i="434"/>
  <c r="A340" i="434"/>
  <c r="Q339" i="434"/>
  <c r="A339" i="434"/>
  <c r="Q338" i="434"/>
  <c r="A338" i="434"/>
  <c r="Q337" i="434"/>
  <c r="A337" i="434"/>
  <c r="Q336" i="434"/>
  <c r="A336" i="434"/>
  <c r="Q335" i="434"/>
  <c r="A335" i="434"/>
  <c r="Q334" i="434"/>
  <c r="A334" i="434"/>
  <c r="Q333" i="434"/>
  <c r="A333" i="434"/>
  <c r="Q332" i="434"/>
  <c r="A332" i="434"/>
  <c r="Q331" i="434"/>
  <c r="A331" i="434"/>
  <c r="Q330" i="434"/>
  <c r="A330" i="434"/>
  <c r="Q329" i="434"/>
  <c r="A329" i="434"/>
  <c r="Q328" i="434"/>
  <c r="A328" i="434"/>
  <c r="Q327" i="434"/>
  <c r="A327" i="434"/>
  <c r="Q326" i="434"/>
  <c r="A326" i="434"/>
  <c r="Q325" i="434"/>
  <c r="A325" i="434"/>
  <c r="Q324" i="434"/>
  <c r="A324" i="434"/>
  <c r="Q323" i="434"/>
  <c r="A323" i="434"/>
  <c r="Q322" i="434"/>
  <c r="A322" i="434"/>
  <c r="Q321" i="434"/>
  <c r="A321" i="434"/>
  <c r="Q320" i="434"/>
  <c r="A320" i="434"/>
  <c r="Q319" i="434"/>
  <c r="A319" i="434"/>
  <c r="Q318" i="434"/>
  <c r="A318" i="434"/>
  <c r="Q317" i="434"/>
  <c r="A317" i="434"/>
  <c r="Q316" i="434"/>
  <c r="A316" i="434"/>
  <c r="Q315" i="434"/>
  <c r="A315" i="434"/>
  <c r="Q314" i="434"/>
  <c r="A314" i="434"/>
  <c r="Q313" i="434"/>
  <c r="A313" i="434"/>
  <c r="Q312" i="434"/>
  <c r="A312" i="434"/>
  <c r="Q311" i="434"/>
  <c r="A311" i="434"/>
  <c r="Q310" i="434"/>
  <c r="A310" i="434"/>
  <c r="Q309" i="434"/>
  <c r="A309" i="434"/>
  <c r="Q308" i="434"/>
  <c r="A308" i="434"/>
  <c r="Q307" i="434"/>
  <c r="A307" i="434"/>
  <c r="Q306" i="434"/>
  <c r="A306" i="434"/>
  <c r="Q305" i="434"/>
  <c r="A305" i="434"/>
  <c r="Q304" i="434"/>
  <c r="A304" i="434"/>
  <c r="Q303" i="434"/>
  <c r="A303" i="434"/>
  <c r="Q302" i="434"/>
  <c r="A302" i="434"/>
  <c r="Q301" i="434"/>
  <c r="A301" i="434"/>
  <c r="Q300" i="434"/>
  <c r="A300" i="434"/>
  <c r="Q299" i="434"/>
  <c r="A299" i="434"/>
  <c r="Q298" i="434"/>
  <c r="A298" i="434"/>
  <c r="Q297" i="434"/>
  <c r="A297" i="434"/>
  <c r="Q296" i="434"/>
  <c r="A296" i="434"/>
  <c r="Q295" i="434"/>
  <c r="A295" i="434"/>
  <c r="Q294" i="434"/>
  <c r="A294" i="434"/>
  <c r="Q293" i="434"/>
  <c r="A293" i="434"/>
  <c r="Q292" i="434"/>
  <c r="A292" i="434"/>
  <c r="Q291" i="434"/>
  <c r="A291" i="434"/>
  <c r="Q290" i="434"/>
  <c r="A290" i="434"/>
  <c r="Q289" i="434"/>
  <c r="A289" i="434"/>
  <c r="Q288" i="434"/>
  <c r="A288" i="434"/>
  <c r="Q287" i="434"/>
  <c r="A287" i="434"/>
  <c r="Q286" i="434"/>
  <c r="A286" i="434"/>
  <c r="Q285" i="434"/>
  <c r="A285" i="434"/>
  <c r="Q284" i="434"/>
  <c r="A284" i="434"/>
  <c r="Q283" i="434"/>
  <c r="A283" i="434"/>
  <c r="Q282" i="434"/>
  <c r="A282" i="434"/>
  <c r="Q281" i="434"/>
  <c r="A281" i="434"/>
  <c r="Q280" i="434"/>
  <c r="A280" i="434"/>
  <c r="Q279" i="434"/>
  <c r="A279" i="434"/>
  <c r="Q278" i="434"/>
  <c r="A278" i="434"/>
  <c r="Q277" i="434"/>
  <c r="A277" i="434"/>
  <c r="Q276" i="434"/>
  <c r="A276" i="434"/>
  <c r="Q275" i="434"/>
  <c r="A275" i="434"/>
  <c r="Q274" i="434"/>
  <c r="A274" i="434"/>
  <c r="Q273" i="434"/>
  <c r="A273" i="434"/>
  <c r="Q272" i="434"/>
  <c r="A272" i="434"/>
  <c r="Q271" i="434"/>
  <c r="A271" i="434"/>
  <c r="Q270" i="434"/>
  <c r="A270" i="434"/>
  <c r="Q269" i="434"/>
  <c r="A269" i="434"/>
  <c r="Q268" i="434"/>
  <c r="A268" i="434"/>
  <c r="Q267" i="434"/>
  <c r="A267" i="434"/>
  <c r="Q266" i="434"/>
  <c r="A266" i="434"/>
  <c r="Q265" i="434"/>
  <c r="A265" i="434"/>
  <c r="Q264" i="434"/>
  <c r="A264" i="434"/>
  <c r="Q263" i="434"/>
  <c r="A263" i="434"/>
  <c r="Q262" i="434"/>
  <c r="A262" i="434"/>
  <c r="Q261" i="434"/>
  <c r="A261" i="434"/>
  <c r="Q260" i="434"/>
  <c r="A260" i="434"/>
  <c r="Q259" i="434"/>
  <c r="A259" i="434"/>
  <c r="Q258" i="434"/>
  <c r="A258" i="434"/>
  <c r="Q257" i="434"/>
  <c r="A257" i="434"/>
  <c r="Q256" i="434"/>
  <c r="A256" i="434"/>
  <c r="Q255" i="434"/>
  <c r="A255" i="434"/>
  <c r="Q254" i="434"/>
  <c r="A254" i="434"/>
  <c r="Q253" i="434"/>
  <c r="A253" i="434"/>
  <c r="Q252" i="434"/>
  <c r="A252" i="434"/>
  <c r="Q251" i="434"/>
  <c r="A251" i="434"/>
  <c r="Q250" i="434"/>
  <c r="A250" i="434"/>
  <c r="Q249" i="434"/>
  <c r="A249" i="434"/>
  <c r="Q248" i="434"/>
  <c r="A248" i="434"/>
  <c r="Q247" i="434"/>
  <c r="A247" i="434"/>
  <c r="Q246" i="434"/>
  <c r="A246" i="434"/>
  <c r="Q245" i="434"/>
  <c r="A245" i="434"/>
  <c r="Q244" i="434"/>
  <c r="A244" i="434"/>
  <c r="Q243" i="434"/>
  <c r="A243" i="434"/>
  <c r="Q242" i="434"/>
  <c r="A242" i="434"/>
  <c r="Q241" i="434"/>
  <c r="A241" i="434"/>
  <c r="Q240" i="434"/>
  <c r="A240" i="434"/>
  <c r="Q239" i="434"/>
  <c r="A239" i="434"/>
  <c r="Q238" i="434"/>
  <c r="A238" i="434"/>
  <c r="Q237" i="434"/>
  <c r="A237" i="434"/>
  <c r="Q236" i="434"/>
  <c r="A236" i="434"/>
  <c r="Q235" i="434"/>
  <c r="A235" i="434"/>
  <c r="Q234" i="434"/>
  <c r="A234" i="434"/>
  <c r="Q233" i="434"/>
  <c r="A233" i="434"/>
  <c r="Q232" i="434"/>
  <c r="A232" i="434"/>
  <c r="Q231" i="434"/>
  <c r="A231" i="434"/>
  <c r="Q230" i="434"/>
  <c r="A230" i="434"/>
  <c r="Q229" i="434"/>
  <c r="A229" i="434"/>
  <c r="Q228" i="434"/>
  <c r="A228" i="434"/>
  <c r="Q227" i="434"/>
  <c r="A227" i="434"/>
  <c r="Q226" i="434"/>
  <c r="A226" i="434"/>
  <c r="Q225" i="434"/>
  <c r="A225" i="434"/>
  <c r="Q224" i="434"/>
  <c r="A224" i="434"/>
  <c r="Q223" i="434"/>
  <c r="A223" i="434"/>
  <c r="Q222" i="434"/>
  <c r="A222" i="434"/>
  <c r="Q221" i="434"/>
  <c r="A221" i="434"/>
  <c r="Q220" i="434"/>
  <c r="A220" i="434"/>
  <c r="Q219" i="434"/>
  <c r="A219" i="434"/>
  <c r="Q218" i="434"/>
  <c r="A218" i="434"/>
  <c r="Q217" i="434"/>
  <c r="A217" i="434"/>
  <c r="Q216" i="434"/>
  <c r="A216" i="434"/>
  <c r="Q215" i="434"/>
  <c r="A215" i="434"/>
  <c r="Q214" i="434"/>
  <c r="A214" i="434"/>
  <c r="Q213" i="434"/>
  <c r="A213" i="434"/>
  <c r="Q212" i="434"/>
  <c r="A212" i="434"/>
  <c r="Q211" i="434"/>
  <c r="A211" i="434"/>
  <c r="Q210" i="434"/>
  <c r="A210" i="434"/>
  <c r="Q209" i="434"/>
  <c r="A209" i="434"/>
  <c r="Q208" i="434"/>
  <c r="A208" i="434"/>
  <c r="Q207" i="434"/>
  <c r="A207" i="434"/>
  <c r="Q206" i="434"/>
  <c r="A206" i="434"/>
  <c r="Q205" i="434"/>
  <c r="A205" i="434"/>
  <c r="Q204" i="434"/>
  <c r="A204" i="434"/>
  <c r="Q203" i="434"/>
  <c r="A203" i="434"/>
  <c r="Q202" i="434"/>
  <c r="A202" i="434"/>
  <c r="Q201" i="434"/>
  <c r="A201" i="434"/>
  <c r="Q200" i="434"/>
  <c r="A200" i="434"/>
  <c r="Q199" i="434"/>
  <c r="A199" i="434"/>
  <c r="Q198" i="434"/>
  <c r="A198" i="434"/>
  <c r="Q197" i="434"/>
  <c r="A197" i="434"/>
  <c r="Q196" i="434"/>
  <c r="A196" i="434"/>
  <c r="Q195" i="434"/>
  <c r="A195" i="434"/>
  <c r="Q194" i="434"/>
  <c r="A194" i="434"/>
  <c r="Q193" i="434"/>
  <c r="A193" i="434"/>
  <c r="Q192" i="434"/>
  <c r="A192" i="434"/>
  <c r="Q191" i="434"/>
  <c r="A191" i="434"/>
  <c r="Q190" i="434"/>
  <c r="A190" i="434"/>
  <c r="Q189" i="434"/>
  <c r="A189" i="434"/>
  <c r="Q188" i="434"/>
  <c r="A188" i="434"/>
  <c r="Q187" i="434"/>
  <c r="A187" i="434"/>
  <c r="Q186" i="434"/>
  <c r="A186" i="434"/>
  <c r="Q185" i="434"/>
  <c r="A185" i="434"/>
  <c r="Q184" i="434"/>
  <c r="A184" i="434"/>
  <c r="Q183" i="434"/>
  <c r="A183" i="434"/>
  <c r="Q182" i="434"/>
  <c r="A182" i="434"/>
  <c r="Q181" i="434"/>
  <c r="A181" i="434"/>
  <c r="Q180" i="434"/>
  <c r="A180" i="434"/>
  <c r="Q179" i="434"/>
  <c r="A179" i="434"/>
  <c r="Q178" i="434"/>
  <c r="A178" i="434"/>
  <c r="Q177" i="434"/>
  <c r="A177" i="434"/>
  <c r="Q176" i="434"/>
  <c r="A176" i="434"/>
  <c r="Q175" i="434"/>
  <c r="A175" i="434"/>
  <c r="Q174" i="434"/>
  <c r="A174" i="434"/>
  <c r="Q173" i="434"/>
  <c r="A173" i="434"/>
  <c r="Q172" i="434"/>
  <c r="A172" i="434"/>
  <c r="Q171" i="434"/>
  <c r="A171" i="434"/>
  <c r="Q170" i="434"/>
  <c r="A170" i="434"/>
  <c r="Q169" i="434"/>
  <c r="A169" i="434"/>
  <c r="Q168" i="434"/>
  <c r="A168" i="434"/>
  <c r="Q167" i="434"/>
  <c r="A167" i="434"/>
  <c r="Q166" i="434"/>
  <c r="A166" i="434"/>
  <c r="Q165" i="434"/>
  <c r="A165" i="434"/>
  <c r="Q164" i="434"/>
  <c r="A164" i="434"/>
  <c r="Q163" i="434"/>
  <c r="A163" i="434"/>
  <c r="Q162" i="434"/>
  <c r="A162" i="434"/>
  <c r="Q161" i="434"/>
  <c r="A161" i="434"/>
  <c r="Q160" i="434"/>
  <c r="A160" i="434"/>
  <c r="Q159" i="434"/>
  <c r="A159" i="434"/>
  <c r="Q158" i="434"/>
  <c r="A158" i="434"/>
  <c r="Q157" i="434"/>
  <c r="A157" i="434"/>
  <c r="Q156" i="434"/>
  <c r="A156" i="434"/>
  <c r="Q155" i="434"/>
  <c r="A155" i="434"/>
  <c r="Q154" i="434"/>
  <c r="A154" i="434"/>
  <c r="Q153" i="434"/>
  <c r="A153" i="434"/>
  <c r="Q152" i="434"/>
  <c r="A152" i="434"/>
  <c r="Q151" i="434"/>
  <c r="A151" i="434"/>
  <c r="Q150" i="434"/>
  <c r="A150" i="434"/>
  <c r="Q149" i="434"/>
  <c r="A149" i="434"/>
  <c r="Q148" i="434"/>
  <c r="A148" i="434"/>
  <c r="Q147" i="434"/>
  <c r="A147" i="434"/>
  <c r="Q146" i="434"/>
  <c r="A146" i="434"/>
  <c r="Q145" i="434"/>
  <c r="A145" i="434"/>
  <c r="Q144" i="434"/>
  <c r="A144" i="434"/>
  <c r="Q143" i="434"/>
  <c r="A143" i="434"/>
  <c r="Q142" i="434"/>
  <c r="A142" i="434"/>
  <c r="Q141" i="434"/>
  <c r="A141" i="434"/>
  <c r="Q140" i="434"/>
  <c r="A140" i="434"/>
  <c r="Q139" i="434"/>
  <c r="A139" i="434"/>
  <c r="Q138" i="434"/>
  <c r="A138" i="434"/>
  <c r="Q137" i="434"/>
  <c r="A137" i="434"/>
  <c r="Q136" i="434"/>
  <c r="A136" i="434"/>
  <c r="Q135" i="434"/>
  <c r="A135" i="434"/>
  <c r="Q134" i="434"/>
  <c r="A134" i="434"/>
  <c r="Q133" i="434"/>
  <c r="A133" i="434"/>
  <c r="Q132" i="434"/>
  <c r="A132" i="434"/>
  <c r="Q131" i="434"/>
  <c r="A131" i="434"/>
  <c r="Q130" i="434"/>
  <c r="A130" i="434"/>
  <c r="Q129" i="434"/>
  <c r="A129" i="434"/>
  <c r="Q128" i="434"/>
  <c r="A128" i="434"/>
  <c r="Q127" i="434"/>
  <c r="A127" i="434"/>
  <c r="Q126" i="434"/>
  <c r="A126" i="434"/>
  <c r="Q125" i="434"/>
  <c r="A125" i="434"/>
  <c r="Q124" i="434"/>
  <c r="A124" i="434"/>
  <c r="Q123" i="434"/>
  <c r="A123" i="434"/>
  <c r="Q122" i="434"/>
  <c r="A122" i="434"/>
  <c r="Q121" i="434"/>
  <c r="A121" i="434"/>
  <c r="Q120" i="434"/>
  <c r="A120" i="434"/>
  <c r="Q119" i="434"/>
  <c r="A119" i="434"/>
  <c r="Q118" i="434"/>
  <c r="A118" i="434"/>
  <c r="Q117" i="434"/>
  <c r="A117" i="434"/>
  <c r="Q116" i="434"/>
  <c r="A116" i="434"/>
  <c r="Q115" i="434"/>
  <c r="A115" i="434"/>
  <c r="Q114" i="434"/>
  <c r="A114" i="434"/>
  <c r="Q113" i="434"/>
  <c r="A113" i="434"/>
  <c r="Q112" i="434"/>
  <c r="A112" i="434"/>
  <c r="Q111" i="434"/>
  <c r="A111" i="434"/>
  <c r="Q110" i="434"/>
  <c r="A110" i="434"/>
  <c r="Q109" i="434"/>
  <c r="A109" i="434"/>
  <c r="Q108" i="434"/>
  <c r="A108" i="434"/>
  <c r="Q107" i="434"/>
  <c r="A107" i="434"/>
  <c r="Q106" i="434"/>
  <c r="A106" i="434"/>
  <c r="Q105" i="434"/>
  <c r="A105" i="434"/>
  <c r="Q104" i="434"/>
  <c r="A104" i="434"/>
  <c r="Q103" i="434"/>
  <c r="A103" i="434"/>
  <c r="Q102" i="434"/>
  <c r="A102" i="434"/>
  <c r="Q101" i="434"/>
  <c r="A101" i="434"/>
  <c r="Q100" i="434"/>
  <c r="A100" i="434"/>
  <c r="Q99" i="434"/>
  <c r="A99" i="434"/>
  <c r="Q98" i="434"/>
  <c r="A98" i="434"/>
  <c r="Q97" i="434"/>
  <c r="A97" i="434"/>
  <c r="Q96" i="434"/>
  <c r="A96" i="434"/>
  <c r="Q95" i="434"/>
  <c r="A95" i="434"/>
  <c r="Q94" i="434"/>
  <c r="A94" i="434"/>
  <c r="Q93" i="434"/>
  <c r="A93" i="434"/>
  <c r="Q92" i="434"/>
  <c r="A92" i="434"/>
  <c r="Q91" i="434"/>
  <c r="A91" i="434"/>
  <c r="Q90" i="434"/>
  <c r="A90" i="434"/>
  <c r="Q89" i="434"/>
  <c r="A89" i="434"/>
  <c r="Q88" i="434"/>
  <c r="A88" i="434"/>
  <c r="Q87" i="434"/>
  <c r="A87" i="434"/>
  <c r="Q86" i="434"/>
  <c r="A86" i="434"/>
  <c r="Q85" i="434"/>
  <c r="A85" i="434"/>
  <c r="Q84" i="434"/>
  <c r="A84" i="434"/>
  <c r="Q83" i="434"/>
  <c r="A83" i="434"/>
  <c r="Q82" i="434"/>
  <c r="A82" i="434"/>
  <c r="Q81" i="434"/>
  <c r="A81" i="434"/>
  <c r="Q80" i="434"/>
  <c r="A80" i="434"/>
  <c r="Q79" i="434"/>
  <c r="A79" i="434"/>
  <c r="Q78" i="434"/>
  <c r="A78" i="434"/>
  <c r="Q77" i="434"/>
  <c r="A77" i="434"/>
  <c r="Q76" i="434"/>
  <c r="A76" i="434"/>
  <c r="Q75" i="434"/>
  <c r="A75" i="434"/>
  <c r="Q74" i="434"/>
  <c r="A74" i="434"/>
  <c r="Q73" i="434"/>
  <c r="A73" i="434"/>
  <c r="Q72" i="434"/>
  <c r="A72" i="434"/>
  <c r="Q71" i="434"/>
  <c r="A71" i="434"/>
  <c r="Q70" i="434"/>
  <c r="A70" i="434"/>
  <c r="Q69" i="434"/>
  <c r="A69" i="434"/>
  <c r="Q68" i="434"/>
  <c r="A68" i="434"/>
  <c r="Q67" i="434"/>
  <c r="A67" i="434"/>
  <c r="Q66" i="434"/>
  <c r="A66" i="434"/>
  <c r="Q65" i="434"/>
  <c r="A65" i="434"/>
  <c r="Q64" i="434"/>
  <c r="A64" i="434"/>
  <c r="Q63" i="434"/>
  <c r="A63" i="434"/>
  <c r="Q62" i="434"/>
  <c r="A62" i="434"/>
  <c r="Q61" i="434"/>
  <c r="A61" i="434"/>
  <c r="Q60" i="434"/>
  <c r="A60" i="434"/>
  <c r="Q59" i="434"/>
  <c r="A59" i="434"/>
  <c r="Q58" i="434"/>
  <c r="A58" i="434"/>
  <c r="Q57" i="434"/>
  <c r="A57" i="434"/>
  <c r="Q56" i="434"/>
  <c r="A56" i="434"/>
  <c r="Q55" i="434"/>
  <c r="A55" i="434"/>
  <c r="Q54" i="434"/>
  <c r="A54" i="434"/>
  <c r="Q53" i="434"/>
  <c r="A53" i="434"/>
  <c r="Q52" i="434"/>
  <c r="A52" i="434"/>
  <c r="Q51" i="434"/>
  <c r="A51" i="434"/>
  <c r="Q50" i="434"/>
  <c r="A50" i="434"/>
  <c r="Q49" i="434"/>
  <c r="A49" i="434"/>
  <c r="Q48" i="434"/>
  <c r="A48" i="434"/>
  <c r="Q47" i="434"/>
  <c r="A47" i="434"/>
  <c r="Q46" i="434"/>
  <c r="A46" i="434"/>
  <c r="Q45" i="434"/>
  <c r="A45" i="434"/>
  <c r="Q44" i="434"/>
  <c r="A44" i="434"/>
  <c r="Q43" i="434"/>
  <c r="A43" i="434"/>
  <c r="Q42" i="434"/>
  <c r="A42" i="434"/>
  <c r="Q41" i="434"/>
  <c r="A41" i="434"/>
  <c r="Q40" i="434"/>
  <c r="A40" i="434"/>
  <c r="Q39" i="434"/>
  <c r="A39" i="434"/>
  <c r="Q38" i="434"/>
  <c r="A38" i="434"/>
  <c r="Q37" i="434"/>
  <c r="A37" i="434"/>
  <c r="Q36" i="434"/>
  <c r="A36" i="434"/>
  <c r="Q35" i="434"/>
  <c r="A35" i="434"/>
  <c r="Q34" i="434"/>
  <c r="A34" i="434"/>
  <c r="Q33" i="434"/>
  <c r="A33" i="434"/>
  <c r="Q32" i="434"/>
  <c r="A32" i="434"/>
  <c r="Q31" i="434"/>
  <c r="A31" i="434"/>
  <c r="Q30" i="434"/>
  <c r="A30" i="434"/>
  <c r="Q29" i="434"/>
  <c r="A29" i="434"/>
  <c r="Q28" i="434"/>
  <c r="A28" i="434"/>
  <c r="Q27" i="434"/>
  <c r="A27" i="434"/>
  <c r="Q26" i="434"/>
  <c r="A26" i="434"/>
  <c r="Q25" i="434"/>
  <c r="A25" i="434"/>
  <c r="Q24" i="434"/>
  <c r="A24" i="434"/>
  <c r="Q23" i="434"/>
  <c r="A23" i="434"/>
  <c r="Q22" i="434"/>
  <c r="A22" i="434"/>
  <c r="Q21" i="434"/>
  <c r="Q20" i="434"/>
  <c r="Q19" i="434"/>
  <c r="A19" i="434"/>
  <c r="Q18" i="434"/>
  <c r="Q17" i="434"/>
  <c r="Q16" i="434"/>
  <c r="A16" i="434"/>
  <c r="Q15" i="434"/>
  <c r="A15" i="434"/>
  <c r="Q14" i="434"/>
  <c r="Q13" i="434"/>
  <c r="A13" i="434"/>
  <c r="Q12" i="434"/>
  <c r="A12" i="434"/>
  <c r="Q11" i="434"/>
  <c r="Q10" i="434"/>
  <c r="A10" i="434"/>
  <c r="Q9" i="434"/>
  <c r="A9" i="434"/>
  <c r="Q8" i="434"/>
  <c r="Q7" i="434"/>
  <c r="A7" i="434"/>
  <c r="Q6" i="434"/>
  <c r="A6" i="434"/>
  <c r="Q5" i="434"/>
  <c r="A5" i="434"/>
  <c r="Q4" i="434"/>
  <c r="A4" i="434"/>
  <c r="Q3" i="434"/>
  <c r="A2" i="434"/>
  <c r="I1" i="433"/>
  <c r="G252" i="432"/>
  <c r="F252" i="432"/>
  <c r="G251" i="432"/>
  <c r="F251" i="432"/>
  <c r="G250" i="432"/>
  <c r="F250" i="432"/>
  <c r="G249" i="432"/>
  <c r="F249" i="432"/>
  <c r="G247" i="432"/>
  <c r="F247" i="432"/>
  <c r="G246" i="432"/>
  <c r="F246" i="432"/>
  <c r="G245" i="432"/>
  <c r="F245" i="432"/>
  <c r="G244" i="432"/>
  <c r="F244" i="432"/>
  <c r="G243" i="432"/>
  <c r="F243" i="432"/>
  <c r="G242" i="432"/>
  <c r="F242" i="432"/>
  <c r="G240" i="432"/>
  <c r="F240" i="432"/>
  <c r="G239" i="432"/>
  <c r="F239" i="432"/>
  <c r="G238" i="432"/>
  <c r="F238" i="432"/>
  <c r="G221" i="432"/>
  <c r="F221" i="432"/>
  <c r="G215" i="432"/>
  <c r="F215" i="432"/>
  <c r="G211" i="432"/>
  <c r="F211" i="432"/>
  <c r="G205" i="432"/>
  <c r="F205" i="432"/>
  <c r="G203" i="432"/>
  <c r="F203" i="432"/>
  <c r="G202" i="432"/>
  <c r="F202" i="432"/>
  <c r="G200" i="432"/>
  <c r="F200" i="432"/>
  <c r="G199" i="432"/>
  <c r="F199" i="432"/>
  <c r="G198" i="432"/>
  <c r="F198" i="432"/>
  <c r="G197" i="432"/>
  <c r="F197" i="432"/>
  <c r="G196" i="432"/>
  <c r="F196" i="432"/>
  <c r="G195" i="432"/>
  <c r="F195" i="432"/>
  <c r="G192" i="432"/>
  <c r="F192" i="432"/>
  <c r="G191" i="432"/>
  <c r="F191" i="432"/>
  <c r="G190" i="432"/>
  <c r="F190" i="432"/>
  <c r="G189" i="432"/>
  <c r="F189" i="432"/>
  <c r="G188" i="432"/>
  <c r="F188" i="432"/>
  <c r="G187" i="432"/>
  <c r="F187" i="432"/>
  <c r="G186" i="432"/>
  <c r="F186" i="432"/>
  <c r="G185" i="432"/>
  <c r="F185" i="432"/>
  <c r="G184" i="432"/>
  <c r="F184" i="432"/>
  <c r="G183" i="432"/>
  <c r="F183" i="432"/>
  <c r="G182" i="432"/>
  <c r="F182" i="432"/>
  <c r="G181" i="432"/>
  <c r="F181" i="432"/>
  <c r="G180" i="432"/>
  <c r="F180" i="432"/>
  <c r="G179" i="432"/>
  <c r="F179" i="432"/>
  <c r="G178" i="432"/>
  <c r="F178" i="432"/>
  <c r="G177" i="432"/>
  <c r="F177" i="432"/>
  <c r="G174" i="432"/>
  <c r="F174" i="432"/>
  <c r="G173" i="432"/>
  <c r="F173" i="432"/>
  <c r="G172" i="432"/>
  <c r="F172" i="432"/>
  <c r="G171" i="432"/>
  <c r="F171" i="432"/>
  <c r="G170" i="432"/>
  <c r="F170" i="432"/>
  <c r="G165" i="432"/>
  <c r="F165" i="432"/>
  <c r="G163" i="432"/>
  <c r="F163" i="432"/>
  <c r="G162" i="432"/>
  <c r="F162" i="432"/>
  <c r="G161" i="432"/>
  <c r="F161" i="432"/>
  <c r="G160" i="432"/>
  <c r="F160" i="432"/>
  <c r="G159" i="432"/>
  <c r="F159" i="432"/>
  <c r="G158" i="432"/>
  <c r="F158" i="432"/>
  <c r="G157" i="432"/>
  <c r="F157" i="432"/>
  <c r="G156" i="432"/>
  <c r="F156" i="432"/>
  <c r="G155" i="432"/>
  <c r="F155" i="432"/>
  <c r="G154" i="432"/>
  <c r="F154" i="432"/>
  <c r="G153" i="432"/>
  <c r="F153" i="432"/>
  <c r="G149" i="432"/>
  <c r="F149" i="432"/>
  <c r="G148" i="432"/>
  <c r="F148" i="432"/>
  <c r="G147" i="432"/>
  <c r="F147" i="432"/>
  <c r="G146" i="432"/>
  <c r="F146" i="432"/>
  <c r="G145" i="432"/>
  <c r="F145" i="432"/>
  <c r="G143" i="432"/>
  <c r="F143" i="432"/>
  <c r="G142" i="432"/>
  <c r="F142" i="432"/>
  <c r="G141" i="432"/>
  <c r="F141" i="432"/>
  <c r="G140" i="432"/>
  <c r="F140" i="432"/>
  <c r="G139" i="432"/>
  <c r="F139" i="432"/>
  <c r="G138" i="432"/>
  <c r="F138" i="432"/>
  <c r="G137" i="432"/>
  <c r="F137" i="432"/>
  <c r="G136" i="432"/>
  <c r="F136" i="432"/>
  <c r="G135" i="432"/>
  <c r="F135" i="432"/>
  <c r="G132" i="432"/>
  <c r="F132" i="432"/>
  <c r="G131" i="432"/>
  <c r="F131" i="432"/>
  <c r="G130" i="432"/>
  <c r="F130" i="432"/>
  <c r="G129" i="432"/>
  <c r="F129" i="432"/>
  <c r="G128" i="432"/>
  <c r="F128" i="432"/>
  <c r="G127" i="432"/>
  <c r="F127" i="432"/>
  <c r="G126" i="432"/>
  <c r="F126" i="432"/>
  <c r="G125" i="432"/>
  <c r="F125" i="432"/>
  <c r="G124" i="432"/>
  <c r="F124" i="432"/>
  <c r="G123" i="432"/>
  <c r="F123" i="432"/>
  <c r="G122" i="432"/>
  <c r="F122" i="432"/>
  <c r="G121" i="432"/>
  <c r="F121" i="432"/>
  <c r="G120" i="432"/>
  <c r="F120" i="432"/>
  <c r="G119" i="432"/>
  <c r="F119" i="432"/>
  <c r="G118" i="432"/>
  <c r="F118" i="432"/>
  <c r="G117" i="432"/>
  <c r="F117" i="432"/>
  <c r="G116" i="432"/>
  <c r="F116" i="432"/>
  <c r="G115" i="432"/>
  <c r="F115" i="432"/>
  <c r="G114" i="432"/>
  <c r="F114" i="432"/>
  <c r="G113" i="432"/>
  <c r="F113" i="432"/>
  <c r="G112" i="432"/>
  <c r="F112" i="432"/>
  <c r="G111" i="432"/>
  <c r="F111" i="432"/>
  <c r="G110" i="432"/>
  <c r="F110" i="432"/>
  <c r="G109" i="432"/>
  <c r="F109" i="432"/>
  <c r="G108" i="432"/>
  <c r="F108" i="432"/>
  <c r="G104" i="432"/>
  <c r="F104" i="432"/>
  <c r="G103" i="432"/>
  <c r="F103" i="432"/>
  <c r="G102" i="432"/>
  <c r="F102" i="432"/>
  <c r="G100" i="432"/>
  <c r="F100" i="432"/>
  <c r="G99" i="432"/>
  <c r="F99" i="432"/>
  <c r="G98" i="432"/>
  <c r="F98" i="432"/>
  <c r="G96" i="432"/>
  <c r="F96" i="432"/>
  <c r="G95" i="432"/>
  <c r="F95" i="432"/>
  <c r="G94" i="432"/>
  <c r="F94" i="432"/>
  <c r="G92" i="432"/>
  <c r="F92" i="432"/>
  <c r="G91" i="432"/>
  <c r="F91" i="432"/>
  <c r="G90" i="432"/>
  <c r="F90" i="432"/>
  <c r="G89" i="432"/>
  <c r="F89" i="432"/>
  <c r="G88" i="432"/>
  <c r="F88" i="432"/>
  <c r="G87" i="432"/>
  <c r="F87" i="432"/>
  <c r="G86" i="432"/>
  <c r="F86" i="432"/>
  <c r="G85" i="432"/>
  <c r="F85" i="432"/>
  <c r="G83" i="432"/>
  <c r="F83" i="432"/>
  <c r="G82" i="432"/>
  <c r="F82" i="432"/>
  <c r="G81" i="432"/>
  <c r="F81" i="432"/>
  <c r="G79" i="432"/>
  <c r="F79" i="432"/>
  <c r="G78" i="432"/>
  <c r="F78" i="432"/>
  <c r="G77" i="432"/>
  <c r="F77" i="432"/>
  <c r="G76" i="432"/>
  <c r="F76" i="432"/>
  <c r="G75" i="432"/>
  <c r="F75" i="432"/>
  <c r="G73" i="432"/>
  <c r="F73" i="432"/>
  <c r="G72" i="432"/>
  <c r="F72" i="432"/>
  <c r="G70" i="432"/>
  <c r="F70" i="432"/>
  <c r="G69" i="432"/>
  <c r="F69" i="432"/>
  <c r="G68" i="432"/>
  <c r="F68" i="432"/>
  <c r="G67" i="432"/>
  <c r="F67" i="432"/>
  <c r="G65" i="432"/>
  <c r="F65" i="432"/>
  <c r="G64" i="432"/>
  <c r="F64" i="432"/>
  <c r="G63" i="432"/>
  <c r="F63" i="432"/>
  <c r="G62" i="432"/>
  <c r="F62" i="432"/>
  <c r="G59" i="432"/>
  <c r="F59" i="432"/>
  <c r="G56" i="432"/>
  <c r="F56" i="432"/>
  <c r="G55" i="432"/>
  <c r="F55" i="432"/>
  <c r="G54" i="432"/>
  <c r="F54" i="432"/>
  <c r="G52" i="432"/>
  <c r="F52" i="432"/>
  <c r="G51" i="432"/>
  <c r="F51" i="432"/>
  <c r="G49" i="432"/>
  <c r="F49" i="432"/>
  <c r="G48" i="432"/>
  <c r="F48" i="432"/>
  <c r="G47" i="432"/>
  <c r="F47" i="432"/>
  <c r="G46" i="432"/>
  <c r="F46" i="432"/>
  <c r="G45" i="432"/>
  <c r="F45" i="432"/>
  <c r="G44" i="432"/>
  <c r="F44" i="432"/>
  <c r="G43" i="432"/>
  <c r="F43" i="432"/>
  <c r="G42" i="432"/>
  <c r="F42" i="432"/>
  <c r="G41" i="432"/>
  <c r="F41" i="432"/>
  <c r="G40" i="432"/>
  <c r="F40" i="432"/>
  <c r="G39" i="432"/>
  <c r="F39" i="432"/>
  <c r="G38" i="432"/>
  <c r="F38" i="432"/>
  <c r="G37" i="432"/>
  <c r="F37" i="432"/>
  <c r="G36" i="432"/>
  <c r="F36" i="432"/>
  <c r="G35" i="432"/>
  <c r="F35" i="432"/>
  <c r="G33" i="432"/>
  <c r="F33" i="432"/>
  <c r="G32" i="432"/>
  <c r="F32" i="432"/>
  <c r="G31" i="432"/>
  <c r="F31" i="432"/>
  <c r="G30" i="432"/>
  <c r="F30" i="432"/>
  <c r="G29" i="432"/>
  <c r="F29" i="432"/>
  <c r="G28" i="432"/>
  <c r="F28" i="432"/>
  <c r="G27" i="432"/>
  <c r="F27" i="432"/>
  <c r="G26" i="432"/>
  <c r="F26" i="432"/>
  <c r="G25" i="432"/>
  <c r="F25" i="432"/>
  <c r="G24" i="432"/>
  <c r="F24" i="432"/>
  <c r="G23" i="432"/>
  <c r="F23" i="432"/>
  <c r="G22" i="432"/>
  <c r="F22" i="432"/>
  <c r="G21" i="432"/>
  <c r="F21" i="432"/>
  <c r="G20" i="432"/>
  <c r="F20" i="432"/>
  <c r="G19" i="432"/>
  <c r="F19" i="432"/>
  <c r="G18" i="432"/>
  <c r="F18" i="432"/>
  <c r="G16" i="432"/>
  <c r="F16" i="432"/>
  <c r="G15" i="432"/>
  <c r="F15" i="432"/>
  <c r="G13" i="432"/>
  <c r="F13" i="432"/>
  <c r="G12" i="432"/>
  <c r="F12" i="432"/>
  <c r="G11" i="432"/>
  <c r="F11" i="432"/>
  <c r="G10" i="432"/>
  <c r="F10" i="432"/>
  <c r="G9" i="432"/>
  <c r="F9" i="432"/>
  <c r="G8" i="432"/>
  <c r="F8" i="432"/>
  <c r="G7" i="432"/>
  <c r="F7" i="432"/>
  <c r="G6" i="432"/>
  <c r="F6" i="432"/>
  <c r="G5" i="432"/>
  <c r="F5" i="432"/>
  <c r="G4" i="432"/>
  <c r="F4" i="432"/>
  <c r="G3" i="432"/>
  <c r="F3" i="432"/>
  <c r="I3" i="420"/>
  <c r="I4" i="420"/>
  <c r="I5" i="420"/>
  <c r="I6" i="420"/>
  <c r="I7" i="420"/>
  <c r="I8" i="420"/>
  <c r="I9" i="420"/>
  <c r="I10" i="420"/>
  <c r="I11" i="420"/>
  <c r="I12" i="420"/>
  <c r="I13" i="420"/>
  <c r="I14" i="420"/>
  <c r="I15" i="420"/>
  <c r="I16" i="420"/>
  <c r="I17" i="420"/>
  <c r="I18" i="420"/>
  <c r="I19" i="420"/>
  <c r="I20" i="420"/>
  <c r="I21" i="420"/>
  <c r="I22" i="420"/>
  <c r="I23" i="420"/>
  <c r="I24" i="420"/>
  <c r="I25" i="420"/>
  <c r="I26" i="420"/>
  <c r="I27" i="420"/>
  <c r="I28" i="420"/>
  <c r="I29" i="420"/>
  <c r="I30" i="420"/>
  <c r="I31" i="420"/>
  <c r="I32" i="420"/>
  <c r="I33" i="420"/>
  <c r="I34" i="420"/>
  <c r="I35" i="420"/>
  <c r="I36" i="420"/>
  <c r="I37" i="420"/>
  <c r="I38" i="420"/>
  <c r="I39" i="420"/>
  <c r="I40" i="420"/>
  <c r="I41" i="420"/>
  <c r="I42" i="420"/>
  <c r="I43" i="420"/>
  <c r="I44" i="420"/>
  <c r="I45" i="420"/>
  <c r="I46" i="420"/>
  <c r="I47" i="420"/>
  <c r="I48" i="420"/>
  <c r="I49" i="420"/>
  <c r="I50" i="420"/>
  <c r="I51" i="420"/>
  <c r="I52" i="420"/>
  <c r="I53" i="420"/>
  <c r="I54" i="420"/>
  <c r="I55" i="420"/>
  <c r="I56" i="420"/>
  <c r="I57" i="420"/>
  <c r="I58" i="420"/>
  <c r="I59" i="420"/>
  <c r="I60" i="420"/>
  <c r="I61" i="420"/>
  <c r="I62" i="420"/>
  <c r="I63" i="420"/>
  <c r="I64" i="420"/>
  <c r="I65" i="420"/>
  <c r="I66" i="420"/>
  <c r="I67" i="420"/>
  <c r="I68" i="420"/>
  <c r="I69" i="420"/>
  <c r="I70" i="420"/>
  <c r="I71" i="420"/>
  <c r="I72" i="420"/>
  <c r="I73" i="420"/>
  <c r="I74" i="420"/>
  <c r="I75" i="420"/>
  <c r="I76" i="420"/>
  <c r="I77" i="420"/>
  <c r="I78" i="420"/>
  <c r="I79" i="420"/>
  <c r="I80" i="420"/>
  <c r="I81" i="420"/>
  <c r="I82" i="420"/>
  <c r="I83" i="420"/>
  <c r="I84" i="420"/>
  <c r="I85" i="420"/>
  <c r="I86" i="420"/>
  <c r="I87" i="420"/>
  <c r="I88" i="420"/>
  <c r="I89" i="420"/>
  <c r="I90" i="420"/>
  <c r="I91" i="420"/>
  <c r="I92" i="420"/>
  <c r="I93" i="420"/>
  <c r="I94" i="420"/>
  <c r="I95" i="420"/>
  <c r="I96" i="420"/>
  <c r="I97" i="420"/>
  <c r="I98" i="420"/>
  <c r="I99" i="420"/>
  <c r="I100" i="420"/>
  <c r="I101" i="420"/>
  <c r="I102" i="420"/>
  <c r="I103" i="420"/>
  <c r="I104" i="420"/>
  <c r="I105" i="420"/>
  <c r="I106" i="420"/>
  <c r="I107" i="420"/>
  <c r="I108" i="420"/>
  <c r="I109" i="420"/>
  <c r="I110" i="420"/>
  <c r="I111" i="420"/>
  <c r="I112" i="420"/>
  <c r="I113" i="420"/>
  <c r="I114" i="420"/>
  <c r="I115" i="420"/>
  <c r="I116" i="420"/>
  <c r="I117" i="420"/>
  <c r="I118" i="420"/>
  <c r="I119" i="420"/>
  <c r="I2" i="420"/>
  <c r="I3" i="417"/>
  <c r="I4" i="417"/>
  <c r="I5" i="417"/>
  <c r="I6" i="417"/>
  <c r="I7" i="417"/>
  <c r="I8" i="417"/>
  <c r="I9" i="417"/>
  <c r="I10" i="417"/>
  <c r="I11" i="417"/>
  <c r="I12" i="417"/>
  <c r="I13" i="417"/>
  <c r="I14" i="417"/>
  <c r="I15" i="417"/>
  <c r="I16" i="417"/>
  <c r="I17" i="417"/>
  <c r="I18" i="417"/>
  <c r="I19" i="417"/>
  <c r="I20" i="417"/>
  <c r="I21" i="417"/>
  <c r="I22" i="417"/>
  <c r="I23" i="417"/>
  <c r="I24" i="417"/>
  <c r="I25" i="417"/>
  <c r="I26" i="417"/>
  <c r="I27" i="417"/>
  <c r="I28" i="417"/>
  <c r="I29" i="417"/>
  <c r="I30" i="417"/>
  <c r="I31" i="417"/>
  <c r="I32" i="417"/>
  <c r="I33" i="417"/>
  <c r="I34" i="417"/>
  <c r="I35" i="417"/>
  <c r="I36" i="417"/>
  <c r="I37" i="417"/>
  <c r="I38" i="417"/>
  <c r="I39" i="417"/>
  <c r="I40" i="417"/>
  <c r="I41" i="417"/>
  <c r="I42" i="417"/>
  <c r="I43" i="417"/>
  <c r="I44" i="417"/>
  <c r="I45" i="417"/>
  <c r="I46" i="417"/>
  <c r="I47" i="417"/>
  <c r="I48" i="417"/>
  <c r="I49" i="417"/>
  <c r="I50" i="417"/>
  <c r="I51" i="417"/>
  <c r="I52" i="417"/>
  <c r="I53" i="417"/>
  <c r="I54" i="417"/>
  <c r="I55" i="417"/>
  <c r="I56" i="417"/>
  <c r="I57" i="417"/>
  <c r="I58" i="417"/>
  <c r="I59" i="417"/>
  <c r="I60" i="417"/>
  <c r="I61" i="417"/>
  <c r="I62" i="417"/>
  <c r="I63" i="417"/>
  <c r="I64" i="417"/>
  <c r="I65" i="417"/>
  <c r="I66" i="417"/>
  <c r="I67" i="417"/>
  <c r="I68" i="417"/>
  <c r="I69" i="417"/>
  <c r="I70" i="417"/>
  <c r="I71" i="417"/>
  <c r="I72" i="417"/>
  <c r="I73" i="417"/>
  <c r="I74" i="417"/>
  <c r="I75" i="417"/>
  <c r="I76" i="417"/>
  <c r="I77" i="417"/>
  <c r="I78" i="417"/>
  <c r="I79" i="417"/>
  <c r="I80" i="417"/>
  <c r="I81" i="417"/>
  <c r="I82" i="417"/>
  <c r="I83" i="417"/>
  <c r="I84" i="417"/>
  <c r="I85" i="417"/>
  <c r="I86" i="417"/>
  <c r="I87" i="417"/>
  <c r="I88" i="417"/>
  <c r="I89" i="417"/>
  <c r="I90" i="417"/>
  <c r="I91" i="417"/>
  <c r="I92" i="417"/>
  <c r="I93" i="417"/>
  <c r="I94" i="417"/>
  <c r="I95" i="417"/>
  <c r="I96" i="417"/>
  <c r="I97" i="417"/>
  <c r="I98" i="417"/>
  <c r="I99" i="417"/>
  <c r="I100" i="417"/>
  <c r="I101" i="417"/>
  <c r="I102" i="417"/>
  <c r="I103" i="417"/>
  <c r="I104" i="417"/>
  <c r="I105" i="417"/>
  <c r="I106" i="417"/>
  <c r="I107" i="417"/>
  <c r="I108" i="417"/>
  <c r="I109" i="417"/>
  <c r="I110" i="417"/>
  <c r="I111" i="417"/>
  <c r="I112" i="417"/>
  <c r="I113" i="417"/>
  <c r="I114" i="417"/>
  <c r="I115" i="417"/>
  <c r="I116" i="417"/>
  <c r="I117" i="417"/>
  <c r="I118" i="417"/>
  <c r="I119" i="417"/>
  <c r="I2" i="417"/>
  <c r="I3" i="413"/>
  <c r="I4" i="413"/>
  <c r="I5" i="413"/>
  <c r="I6" i="413"/>
  <c r="I7" i="413"/>
  <c r="I8" i="413"/>
  <c r="I9" i="413"/>
  <c r="I10" i="413"/>
  <c r="I11" i="413"/>
  <c r="I12" i="413"/>
  <c r="I13" i="413"/>
  <c r="I14" i="413"/>
  <c r="I15" i="413"/>
  <c r="I16" i="413"/>
  <c r="I17" i="413"/>
  <c r="I18" i="413"/>
  <c r="I19" i="413"/>
  <c r="I20" i="413"/>
  <c r="I21" i="413"/>
  <c r="I22" i="413"/>
  <c r="I23" i="413"/>
  <c r="I24" i="413"/>
  <c r="I25" i="413"/>
  <c r="I26" i="413"/>
  <c r="I27" i="413"/>
  <c r="I28" i="413"/>
  <c r="I29" i="413"/>
  <c r="I30" i="413"/>
  <c r="I31" i="413"/>
  <c r="I32" i="413"/>
  <c r="I33" i="413"/>
  <c r="I34" i="413"/>
  <c r="I35" i="413"/>
  <c r="I36" i="413"/>
  <c r="I37" i="413"/>
  <c r="I38" i="413"/>
  <c r="I39" i="413"/>
  <c r="I40" i="413"/>
  <c r="I41" i="413"/>
  <c r="I42" i="413"/>
  <c r="I43" i="413"/>
  <c r="I44" i="413"/>
  <c r="I45" i="413"/>
  <c r="I46" i="413"/>
  <c r="I47" i="413"/>
  <c r="I48" i="413"/>
  <c r="I49" i="413"/>
  <c r="I50" i="413"/>
  <c r="I51" i="413"/>
  <c r="I52" i="413"/>
  <c r="I53" i="413"/>
  <c r="I54" i="413"/>
  <c r="I55" i="413"/>
  <c r="I56" i="413"/>
  <c r="I57" i="413"/>
  <c r="I58" i="413"/>
  <c r="I59" i="413"/>
  <c r="I60" i="413"/>
  <c r="I61" i="413"/>
  <c r="I62" i="413"/>
  <c r="I63" i="413"/>
  <c r="I64" i="413"/>
  <c r="I65" i="413"/>
  <c r="I66" i="413"/>
  <c r="I67" i="413"/>
  <c r="I68" i="413"/>
  <c r="I69" i="413"/>
  <c r="I70" i="413"/>
  <c r="I71" i="413"/>
  <c r="I72" i="413"/>
  <c r="I73" i="413"/>
  <c r="I74" i="413"/>
  <c r="I75" i="413"/>
  <c r="I76" i="413"/>
  <c r="I77" i="413"/>
  <c r="I78" i="413"/>
  <c r="I79" i="413"/>
  <c r="I80" i="413"/>
  <c r="I81" i="413"/>
  <c r="I82" i="413"/>
  <c r="I83" i="413"/>
  <c r="I84" i="413"/>
  <c r="I85" i="413"/>
  <c r="I86" i="413"/>
  <c r="I87" i="413"/>
  <c r="I88" i="413"/>
  <c r="I89" i="413"/>
  <c r="I90" i="413"/>
  <c r="I91" i="413"/>
  <c r="I92" i="413"/>
  <c r="I93" i="413"/>
  <c r="I94" i="413"/>
  <c r="I95" i="413"/>
  <c r="I96" i="413"/>
  <c r="I97" i="413"/>
  <c r="I98" i="413"/>
  <c r="I99" i="413"/>
  <c r="I100" i="413"/>
  <c r="I101" i="413"/>
  <c r="I102" i="413"/>
  <c r="I103" i="413"/>
  <c r="I104" i="413"/>
  <c r="I105" i="413"/>
  <c r="I106" i="413"/>
  <c r="I107" i="413"/>
  <c r="I108" i="413"/>
  <c r="I109" i="413"/>
  <c r="I110" i="413"/>
  <c r="I111" i="413"/>
  <c r="I112" i="413"/>
  <c r="I113" i="413"/>
  <c r="I114" i="413"/>
  <c r="I115" i="413"/>
  <c r="I116" i="413"/>
  <c r="I117" i="413"/>
  <c r="I118" i="413"/>
  <c r="I119" i="413"/>
  <c r="I2" i="413"/>
  <c r="C2" i="402"/>
  <c r="I3" i="424"/>
  <c r="I4" i="424"/>
  <c r="I5" i="424"/>
  <c r="I6" i="424"/>
  <c r="I7" i="424"/>
  <c r="I8" i="424"/>
  <c r="I9" i="424"/>
  <c r="I10" i="424"/>
  <c r="I11" i="424"/>
  <c r="I12" i="424"/>
  <c r="I13" i="424"/>
  <c r="I14" i="424"/>
  <c r="I15" i="424"/>
  <c r="I16" i="424"/>
  <c r="I17" i="424"/>
  <c r="I18" i="424"/>
  <c r="I19" i="424"/>
  <c r="I20" i="424"/>
  <c r="I21" i="424"/>
  <c r="I22" i="424"/>
  <c r="I23" i="424"/>
  <c r="I24" i="424"/>
  <c r="I25" i="424"/>
  <c r="I26" i="424"/>
  <c r="I27" i="424"/>
  <c r="I28" i="424"/>
  <c r="I29" i="424"/>
  <c r="I30" i="424"/>
  <c r="I31" i="424"/>
  <c r="I32" i="424"/>
  <c r="I33" i="424"/>
  <c r="I34" i="424"/>
  <c r="I35" i="424"/>
  <c r="I36" i="424"/>
  <c r="I37" i="424"/>
  <c r="I38" i="424"/>
  <c r="I39" i="424"/>
  <c r="I40" i="424"/>
  <c r="I41" i="424"/>
  <c r="I42" i="424"/>
  <c r="I43" i="424"/>
  <c r="I44" i="424"/>
  <c r="I45" i="424"/>
  <c r="I46" i="424"/>
  <c r="I47" i="424"/>
  <c r="I48" i="424"/>
  <c r="I49" i="424"/>
  <c r="I50" i="424"/>
  <c r="I51" i="424"/>
  <c r="I52" i="424"/>
  <c r="I53" i="424"/>
  <c r="I54" i="424"/>
  <c r="I55" i="424"/>
  <c r="I56" i="424"/>
  <c r="I57" i="424"/>
  <c r="I58" i="424"/>
  <c r="I59" i="424"/>
  <c r="I60" i="424"/>
  <c r="I61" i="424"/>
  <c r="I62" i="424"/>
  <c r="I63" i="424"/>
  <c r="I64" i="424"/>
  <c r="I65" i="424"/>
  <c r="I66" i="424"/>
  <c r="I67" i="424"/>
  <c r="I68" i="424"/>
  <c r="I69" i="424"/>
  <c r="I70" i="424"/>
  <c r="I71" i="424"/>
  <c r="I72" i="424"/>
  <c r="I73" i="424"/>
  <c r="I74" i="424"/>
  <c r="I75" i="424"/>
  <c r="I76" i="424"/>
  <c r="I77" i="424"/>
  <c r="I78" i="424"/>
  <c r="I79" i="424"/>
  <c r="I80" i="424"/>
  <c r="I81" i="424"/>
  <c r="I82" i="424"/>
  <c r="I83" i="424"/>
  <c r="I84" i="424"/>
  <c r="I85" i="424"/>
  <c r="I86" i="424"/>
  <c r="I87" i="424"/>
  <c r="I88" i="424"/>
  <c r="I89" i="424"/>
  <c r="I90" i="424"/>
  <c r="I91" i="424"/>
  <c r="I92" i="424"/>
  <c r="I93" i="424"/>
  <c r="I94" i="424"/>
  <c r="I95" i="424"/>
  <c r="I96" i="424"/>
  <c r="I97" i="424"/>
  <c r="I98" i="424"/>
  <c r="I99" i="424"/>
  <c r="I100" i="424"/>
  <c r="I101" i="424"/>
  <c r="I102" i="424"/>
  <c r="I103" i="424"/>
  <c r="I104" i="424"/>
  <c r="I105" i="424"/>
  <c r="I106" i="424"/>
  <c r="I107" i="424"/>
  <c r="I108" i="424"/>
  <c r="I109" i="424"/>
  <c r="I110" i="424"/>
  <c r="I111" i="424"/>
  <c r="I112" i="424"/>
  <c r="I113" i="424"/>
  <c r="I114" i="424"/>
  <c r="I115" i="424"/>
  <c r="I116" i="424"/>
  <c r="I117" i="424"/>
  <c r="I118" i="424"/>
  <c r="I119" i="424"/>
  <c r="I2" i="424"/>
  <c r="I3" i="377"/>
  <c r="I4" i="377"/>
  <c r="I5" i="377"/>
  <c r="I6" i="377"/>
  <c r="I7" i="377"/>
  <c r="I8" i="377"/>
  <c r="I9" i="377"/>
  <c r="I10" i="377"/>
  <c r="I11" i="377"/>
  <c r="I12" i="377"/>
  <c r="I13" i="377"/>
  <c r="I14" i="377"/>
  <c r="I15" i="377"/>
  <c r="I16" i="377"/>
  <c r="I17" i="377"/>
  <c r="I18" i="377"/>
  <c r="I19" i="377"/>
  <c r="I20" i="377"/>
  <c r="I21" i="377"/>
  <c r="I22" i="377"/>
  <c r="I23" i="377"/>
  <c r="I24" i="377"/>
  <c r="I25" i="377"/>
  <c r="I26" i="377"/>
  <c r="I27" i="377"/>
  <c r="I28" i="377"/>
  <c r="I29" i="377"/>
  <c r="I30" i="377"/>
  <c r="I31" i="377"/>
  <c r="I32" i="377"/>
  <c r="I33" i="377"/>
  <c r="I34" i="377"/>
  <c r="I35" i="377"/>
  <c r="I36" i="377"/>
  <c r="I37" i="377"/>
  <c r="I38" i="377"/>
  <c r="I39" i="377"/>
  <c r="I40" i="377"/>
  <c r="I41" i="377"/>
  <c r="I42" i="377"/>
  <c r="I43" i="377"/>
  <c r="I44" i="377"/>
  <c r="I45" i="377"/>
  <c r="I46" i="377"/>
  <c r="I47" i="377"/>
  <c r="I48" i="377"/>
  <c r="I49" i="377"/>
  <c r="I50" i="377"/>
  <c r="I51" i="377"/>
  <c r="I52" i="377"/>
  <c r="I53" i="377"/>
  <c r="I54" i="377"/>
  <c r="I55" i="377"/>
  <c r="I56" i="377"/>
  <c r="I57" i="377"/>
  <c r="I58" i="377"/>
  <c r="I59" i="377"/>
  <c r="I60" i="377"/>
  <c r="I61" i="377"/>
  <c r="I62" i="377"/>
  <c r="I63" i="377"/>
  <c r="I64" i="377"/>
  <c r="I65" i="377"/>
  <c r="I66" i="377"/>
  <c r="I67" i="377"/>
  <c r="I68" i="377"/>
  <c r="I69" i="377"/>
  <c r="I70" i="377"/>
  <c r="I71" i="377"/>
  <c r="I72" i="377"/>
  <c r="I73" i="377"/>
  <c r="I74" i="377"/>
  <c r="I75" i="377"/>
  <c r="I76" i="377"/>
  <c r="I77" i="377"/>
  <c r="I78" i="377"/>
  <c r="I79" i="377"/>
  <c r="I80" i="377"/>
  <c r="I81" i="377"/>
  <c r="I82" i="377"/>
  <c r="I83" i="377"/>
  <c r="I84" i="377"/>
  <c r="I85" i="377"/>
  <c r="I86" i="377"/>
  <c r="I87" i="377"/>
  <c r="I88" i="377"/>
  <c r="I89" i="377"/>
  <c r="I90" i="377"/>
  <c r="I91" i="377"/>
  <c r="I92" i="377"/>
  <c r="I93" i="377"/>
  <c r="I94" i="377"/>
  <c r="I95" i="377"/>
  <c r="I96" i="377"/>
  <c r="I97" i="377"/>
  <c r="I98" i="377"/>
  <c r="I99" i="377"/>
  <c r="I100" i="377"/>
  <c r="I101" i="377"/>
  <c r="I102" i="377"/>
  <c r="I103" i="377"/>
  <c r="I104" i="377"/>
  <c r="I105" i="377"/>
  <c r="I106" i="377"/>
  <c r="I107" i="377"/>
  <c r="I108" i="377"/>
  <c r="I109" i="377"/>
  <c r="I110" i="377"/>
  <c r="I111" i="377"/>
  <c r="I112" i="377"/>
  <c r="I113" i="377"/>
  <c r="I114" i="377"/>
  <c r="I115" i="377"/>
  <c r="I116" i="377"/>
  <c r="I117" i="377"/>
  <c r="I118" i="377"/>
  <c r="I119" i="377"/>
  <c r="I2" i="377"/>
  <c r="I3" i="411"/>
  <c r="I4" i="411"/>
  <c r="I5" i="411"/>
  <c r="I6" i="411"/>
  <c r="I7" i="411"/>
  <c r="I8" i="411"/>
  <c r="I9" i="411"/>
  <c r="I10" i="411"/>
  <c r="I11" i="411"/>
  <c r="I12" i="411"/>
  <c r="I13" i="411"/>
  <c r="I14" i="411"/>
  <c r="I15" i="411"/>
  <c r="I16" i="411"/>
  <c r="I17" i="411"/>
  <c r="I18" i="411"/>
  <c r="I19" i="411"/>
  <c r="I20" i="411"/>
  <c r="I21" i="411"/>
  <c r="I22" i="411"/>
  <c r="I23" i="411"/>
  <c r="I24" i="411"/>
  <c r="I25" i="411"/>
  <c r="I26" i="411"/>
  <c r="I27" i="411"/>
  <c r="I28" i="411"/>
  <c r="I29" i="411"/>
  <c r="I30" i="411"/>
  <c r="I31" i="411"/>
  <c r="I32" i="411"/>
  <c r="I33" i="411"/>
  <c r="I34" i="411"/>
  <c r="I35" i="411"/>
  <c r="I36" i="411"/>
  <c r="I37" i="411"/>
  <c r="I38" i="411"/>
  <c r="I39" i="411"/>
  <c r="I40" i="411"/>
  <c r="I41" i="411"/>
  <c r="I42" i="411"/>
  <c r="I43" i="411"/>
  <c r="I44" i="411"/>
  <c r="I45" i="411"/>
  <c r="I46" i="411"/>
  <c r="I47" i="411"/>
  <c r="I48" i="411"/>
  <c r="I49" i="411"/>
  <c r="I50" i="411"/>
  <c r="I51" i="411"/>
  <c r="I52" i="411"/>
  <c r="I53" i="411"/>
  <c r="I54" i="411"/>
  <c r="I55" i="411"/>
  <c r="I56" i="411"/>
  <c r="I57" i="411"/>
  <c r="I58" i="411"/>
  <c r="I59" i="411"/>
  <c r="I60" i="411"/>
  <c r="I61" i="411"/>
  <c r="I62" i="411"/>
  <c r="I63" i="411"/>
  <c r="I64" i="411"/>
  <c r="I65" i="411"/>
  <c r="I66" i="411"/>
  <c r="I67" i="411"/>
  <c r="I68" i="411"/>
  <c r="I69" i="411"/>
  <c r="I70" i="411"/>
  <c r="I71" i="411"/>
  <c r="I72" i="411"/>
  <c r="I73" i="411"/>
  <c r="I74" i="411"/>
  <c r="I75" i="411"/>
  <c r="I76" i="411"/>
  <c r="I77" i="411"/>
  <c r="I78" i="411"/>
  <c r="I79" i="411"/>
  <c r="I80" i="411"/>
  <c r="I81" i="411"/>
  <c r="I82" i="411"/>
  <c r="I83" i="411"/>
  <c r="I84" i="411"/>
  <c r="I85" i="411"/>
  <c r="I86" i="411"/>
  <c r="I87" i="411"/>
  <c r="I88" i="411"/>
  <c r="I89" i="411"/>
  <c r="I90" i="411"/>
  <c r="I91" i="411"/>
  <c r="I92" i="411"/>
  <c r="I93" i="411"/>
  <c r="I94" i="411"/>
  <c r="I95" i="411"/>
  <c r="I96" i="411"/>
  <c r="I97" i="411"/>
  <c r="I98" i="411"/>
  <c r="I99" i="411"/>
  <c r="I100" i="411"/>
  <c r="I101" i="411"/>
  <c r="I102" i="411"/>
  <c r="I103" i="411"/>
  <c r="I104" i="411"/>
  <c r="I105" i="411"/>
  <c r="I106" i="411"/>
  <c r="I107" i="411"/>
  <c r="I108" i="411"/>
  <c r="I109" i="411"/>
  <c r="I110" i="411"/>
  <c r="I111" i="411"/>
  <c r="I112" i="411"/>
  <c r="I113" i="411"/>
  <c r="I114" i="411"/>
  <c r="I115" i="411"/>
  <c r="I116" i="411"/>
  <c r="I117" i="411"/>
  <c r="I118" i="411"/>
  <c r="I119" i="411"/>
  <c r="I2" i="411"/>
  <c r="H2" i="411"/>
  <c r="A13" i="390"/>
  <c r="B13" i="390" s="1"/>
  <c r="C13" i="390"/>
  <c r="A14" i="390"/>
  <c r="B14" i="390" s="1"/>
  <c r="C14" i="390"/>
  <c r="A15" i="390"/>
  <c r="B15" i="390" s="1"/>
  <c r="C15" i="390"/>
  <c r="C23" i="153" l="1"/>
  <c r="K279" i="502"/>
  <c r="B25" i="399"/>
  <c r="K254" i="502"/>
  <c r="B27" i="399"/>
  <c r="B26" i="399"/>
  <c r="B24" i="399"/>
  <c r="B23" i="399"/>
  <c r="B22" i="399"/>
  <c r="K251" i="502"/>
  <c r="K252" i="502"/>
  <c r="B32" i="399"/>
  <c r="B31" i="399"/>
  <c r="B30" i="399"/>
  <c r="K253" i="502"/>
  <c r="K278" i="502"/>
  <c r="B40" i="391"/>
  <c r="B17" i="391"/>
  <c r="K250" i="502"/>
  <c r="K275" i="502"/>
  <c r="E26" i="404"/>
  <c r="G80" i="432"/>
  <c r="F214" i="432"/>
  <c r="F213" i="432" s="1"/>
  <c r="F176" i="432"/>
  <c r="F175" i="432" s="1"/>
  <c r="G214" i="432"/>
  <c r="G213" i="432" s="1"/>
  <c r="F74" i="432"/>
  <c r="F80" i="432"/>
  <c r="D14" i="390"/>
  <c r="F17" i="432"/>
  <c r="H22" i="404"/>
  <c r="F101" i="432"/>
  <c r="D13" i="390"/>
  <c r="H20" i="404"/>
  <c r="G93" i="432"/>
  <c r="G133" i="432"/>
  <c r="G176" i="432"/>
  <c r="G175" i="432" s="1"/>
  <c r="J25" i="404"/>
  <c r="H24" i="404"/>
  <c r="F93" i="432"/>
  <c r="H25" i="404"/>
  <c r="G74" i="432"/>
  <c r="G97" i="432"/>
  <c r="G101" i="432"/>
  <c r="G169" i="432"/>
  <c r="G168" i="432" s="1"/>
  <c r="F84" i="432"/>
  <c r="F97" i="432"/>
  <c r="C26" i="404"/>
  <c r="J24" i="404"/>
  <c r="E25" i="404"/>
  <c r="G84" i="432"/>
  <c r="J22" i="404"/>
  <c r="G150" i="432"/>
  <c r="H26" i="404"/>
  <c r="C24" i="404"/>
  <c r="F133" i="432"/>
  <c r="J26" i="404"/>
  <c r="E24" i="404"/>
  <c r="E20" i="404"/>
  <c r="C25" i="404"/>
  <c r="F169" i="432"/>
  <c r="F168" i="432" s="1"/>
  <c r="C20" i="404"/>
  <c r="C22" i="404"/>
  <c r="D15" i="390"/>
  <c r="J20" i="404"/>
  <c r="E22" i="404"/>
  <c r="G14" i="432"/>
  <c r="G34" i="432"/>
  <c r="G50" i="432" s="1"/>
  <c r="F53" i="432"/>
  <c r="F164" i="432"/>
  <c r="F166" i="432" s="1"/>
  <c r="F14" i="432"/>
  <c r="F34" i="432"/>
  <c r="F50" i="432" s="1"/>
  <c r="G53" i="432"/>
  <c r="F150" i="432"/>
  <c r="G164" i="432"/>
  <c r="G166" i="432" s="1"/>
  <c r="A18" i="434"/>
  <c r="A8" i="434"/>
  <c r="A14" i="434"/>
  <c r="A17" i="434"/>
  <c r="A3" i="434"/>
  <c r="A11" i="434"/>
  <c r="A20" i="434"/>
  <c r="F233" i="432"/>
  <c r="B22" i="391" l="1"/>
  <c r="B48" i="391"/>
  <c r="G151" i="432"/>
  <c r="G167" i="432" s="1"/>
  <c r="F26" i="404"/>
  <c r="F105" i="432"/>
  <c r="G233" i="432"/>
  <c r="G105" i="432"/>
  <c r="F25" i="404"/>
  <c r="F22" i="404"/>
  <c r="F151" i="432"/>
  <c r="F167" i="432" s="1"/>
  <c r="G57" i="432"/>
  <c r="G201" i="432"/>
  <c r="G204" i="432" s="1"/>
  <c r="G206" i="432" s="1"/>
  <c r="G241" i="432" s="1"/>
  <c r="G248" i="432" s="1"/>
  <c r="G253" i="432" s="1"/>
  <c r="F201" i="432"/>
  <c r="F204" i="432" s="1"/>
  <c r="F206" i="432" s="1"/>
  <c r="F212" i="432" s="1"/>
  <c r="F24" i="404"/>
  <c r="F57" i="432"/>
  <c r="F106" i="432" l="1"/>
  <c r="G106" i="432"/>
  <c r="F232" i="432"/>
  <c r="G212" i="432"/>
  <c r="G234" i="432" s="1"/>
  <c r="G232" i="432"/>
  <c r="F241" i="432"/>
  <c r="F248" i="432" s="1"/>
  <c r="F253" i="432" s="1"/>
  <c r="F234" i="432"/>
  <c r="H19" i="404"/>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A119" i="424" l="1"/>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A2" i="420"/>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A5" i="417"/>
  <c r="H4" i="417"/>
  <c r="G4" i="417"/>
  <c r="A4" i="417"/>
  <c r="H3" i="417"/>
  <c r="G3" i="417"/>
  <c r="A3" i="417"/>
  <c r="H2" i="417"/>
  <c r="G2" i="417"/>
  <c r="A2" i="41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G9" i="411"/>
  <c r="A9" i="411"/>
  <c r="H8" i="411"/>
  <c r="G8" i="411"/>
  <c r="A8" i="411"/>
  <c r="H7" i="411"/>
  <c r="G7" i="411"/>
  <c r="A7" i="411"/>
  <c r="H6" i="411"/>
  <c r="G6" i="411"/>
  <c r="A6" i="411"/>
  <c r="H5" i="411"/>
  <c r="G5" i="411"/>
  <c r="A5" i="411"/>
  <c r="H4" i="411"/>
  <c r="G4" i="411"/>
  <c r="A4" i="411"/>
  <c r="H3" i="411"/>
  <c r="G3" i="411"/>
  <c r="A3" i="411"/>
  <c r="G2" i="411"/>
  <c r="B24" i="169" l="1"/>
  <c r="D18" i="169"/>
  <c r="D15" i="169"/>
  <c r="B10" i="169"/>
  <c r="B7" i="169"/>
  <c r="D3" i="169"/>
  <c r="C28" i="169"/>
  <c r="C25" i="169"/>
  <c r="D19" i="169"/>
  <c r="C16" i="169"/>
  <c r="C10" i="169"/>
  <c r="D6" i="169"/>
  <c r="B3" i="169"/>
  <c r="B28" i="169"/>
  <c r="B25" i="169"/>
  <c r="C19" i="169"/>
  <c r="B16" i="169"/>
  <c r="D9" i="169"/>
  <c r="C6" i="169"/>
  <c r="D27" i="169"/>
  <c r="D24" i="169"/>
  <c r="B19" i="169"/>
  <c r="C15" i="169"/>
  <c r="C9" i="169"/>
  <c r="B6" i="169"/>
  <c r="C27" i="169"/>
  <c r="C24" i="169"/>
  <c r="C18" i="169"/>
  <c r="B15" i="169"/>
  <c r="B9" i="169"/>
  <c r="D5" i="169"/>
  <c r="B27" i="169"/>
  <c r="B18" i="169"/>
  <c r="D13" i="169"/>
  <c r="C5" i="169"/>
  <c r="D22" i="169"/>
  <c r="C13" i="169"/>
  <c r="B5" i="169"/>
  <c r="C22" i="169"/>
  <c r="B13" i="169"/>
  <c r="D7" i="169"/>
  <c r="D28" i="169"/>
  <c r="D25" i="169"/>
  <c r="B22" i="169"/>
  <c r="D16" i="169"/>
  <c r="D10" i="169"/>
  <c r="C7" i="169"/>
  <c r="C3" i="169"/>
  <c r="C30" i="170"/>
  <c r="E27" i="170"/>
  <c r="B21" i="170"/>
  <c r="B18" i="170"/>
  <c r="E15" i="170"/>
  <c r="E11" i="170"/>
  <c r="C9" i="170"/>
  <c r="D7" i="170"/>
  <c r="E5" i="170"/>
  <c r="C3" i="170"/>
  <c r="B31" i="170"/>
  <c r="D28" i="170"/>
  <c r="D25" i="170"/>
  <c r="E21" i="170"/>
  <c r="E18" i="170"/>
  <c r="B17" i="170"/>
  <c r="E31" i="170"/>
  <c r="E28" i="170"/>
  <c r="E26" i="170" s="1"/>
  <c r="B25" i="170"/>
  <c r="D19" i="170"/>
  <c r="C17" i="170"/>
  <c r="C12" i="170"/>
  <c r="D9" i="170"/>
  <c r="C7" i="170"/>
  <c r="C5" i="170"/>
  <c r="D31" i="170"/>
  <c r="C28" i="170"/>
  <c r="E22" i="170"/>
  <c r="C19" i="170"/>
  <c r="B12" i="170"/>
  <c r="B9" i="170"/>
  <c r="B7" i="170"/>
  <c r="B5" i="170"/>
  <c r="C31" i="170"/>
  <c r="B28" i="170"/>
  <c r="D22" i="170"/>
  <c r="B19" i="170"/>
  <c r="D11" i="170"/>
  <c r="E6" i="170"/>
  <c r="E30" i="170"/>
  <c r="D27" i="170"/>
  <c r="C22" i="170"/>
  <c r="D18" i="170"/>
  <c r="D15" i="170"/>
  <c r="C11" i="170"/>
  <c r="E8" i="170"/>
  <c r="D6" i="170"/>
  <c r="D30" i="170"/>
  <c r="C27" i="170"/>
  <c r="B22" i="170"/>
  <c r="C18" i="170"/>
  <c r="C15" i="170"/>
  <c r="B11" i="170"/>
  <c r="D8" i="170"/>
  <c r="C6" i="170"/>
  <c r="E3" i="170"/>
  <c r="B30" i="170"/>
  <c r="B27" i="170"/>
  <c r="D21" i="170"/>
  <c r="B15" i="170"/>
  <c r="C8" i="170"/>
  <c r="B6" i="170"/>
  <c r="D3" i="170"/>
  <c r="E25" i="170"/>
  <c r="C21" i="170"/>
  <c r="E17" i="170"/>
  <c r="E12" i="170"/>
  <c r="B8" i="170"/>
  <c r="B3" i="170"/>
  <c r="C25" i="170"/>
  <c r="E19" i="170"/>
  <c r="D17" i="170"/>
  <c r="D12" i="170"/>
  <c r="E9" i="170"/>
  <c r="E7" i="170"/>
  <c r="D5" i="170"/>
  <c r="D29" i="410"/>
  <c r="D5" i="410"/>
  <c r="C5" i="410"/>
  <c r="B5" i="410"/>
  <c r="E6" i="410"/>
  <c r="D6" i="410"/>
  <c r="B8" i="410"/>
  <c r="E10" i="410"/>
  <c r="C14" i="410"/>
  <c r="E26" i="410"/>
  <c r="C29" i="410"/>
  <c r="B29" i="410"/>
  <c r="E28" i="410"/>
  <c r="E3" i="410"/>
  <c r="D3" i="410"/>
  <c r="C6" i="410"/>
  <c r="E7" i="410"/>
  <c r="D10" i="410"/>
  <c r="E23" i="410"/>
  <c r="D26" i="410"/>
  <c r="C26" i="410"/>
  <c r="B26" i="410"/>
  <c r="D28" i="410"/>
  <c r="C28" i="410"/>
  <c r="C3" i="410"/>
  <c r="B6" i="410"/>
  <c r="D7" i="410"/>
  <c r="B20" i="410"/>
  <c r="D23" i="410"/>
  <c r="C23" i="410"/>
  <c r="B23" i="410"/>
  <c r="E25" i="410"/>
  <c r="D25" i="410"/>
  <c r="B28" i="410"/>
  <c r="B3" i="410"/>
  <c r="E5" i="410"/>
  <c r="B17" i="410"/>
  <c r="E19" i="410"/>
  <c r="D19" i="410"/>
  <c r="C19" i="410"/>
  <c r="B19" i="410"/>
  <c r="E20" i="410"/>
  <c r="C25" i="410"/>
  <c r="E29" i="410"/>
  <c r="B14" i="410"/>
  <c r="E16" i="410"/>
  <c r="D16" i="410"/>
  <c r="C16" i="410"/>
  <c r="B16" i="410"/>
  <c r="E17" i="410"/>
  <c r="D20" i="410"/>
  <c r="B25" i="410"/>
  <c r="C10" i="410"/>
  <c r="B10" i="410"/>
  <c r="E11" i="410"/>
  <c r="E9" i="410" s="1"/>
  <c r="D11" i="410"/>
  <c r="C11" i="410"/>
  <c r="E14" i="410"/>
  <c r="D17" i="410"/>
  <c r="C20" i="410"/>
  <c r="C7" i="410"/>
  <c r="B7" i="410"/>
  <c r="E8" i="410"/>
  <c r="D8" i="410"/>
  <c r="C8" i="410"/>
  <c r="B11" i="410"/>
  <c r="D14" i="410"/>
  <c r="C17" i="410"/>
  <c r="E27" i="167"/>
  <c r="C25" i="167"/>
  <c r="C22" i="167"/>
  <c r="D18" i="167"/>
  <c r="D15" i="167"/>
  <c r="E10" i="167"/>
  <c r="E7" i="167"/>
  <c r="B3" i="167"/>
  <c r="D27" i="167"/>
  <c r="B25" i="167"/>
  <c r="B22" i="167"/>
  <c r="C18" i="167"/>
  <c r="C15" i="167"/>
  <c r="D10" i="167"/>
  <c r="D7" i="167"/>
  <c r="E5" i="167"/>
  <c r="C27" i="167"/>
  <c r="E24" i="167"/>
  <c r="B18" i="167"/>
  <c r="B15" i="167"/>
  <c r="C10" i="167"/>
  <c r="C7" i="167"/>
  <c r="D5" i="167"/>
  <c r="B27" i="167"/>
  <c r="D24" i="167"/>
  <c r="E19" i="167"/>
  <c r="E16" i="167"/>
  <c r="E13" i="167"/>
  <c r="B10" i="167"/>
  <c r="B7" i="167"/>
  <c r="C5" i="167"/>
  <c r="E28" i="167"/>
  <c r="C24" i="167"/>
  <c r="D19" i="167"/>
  <c r="D16" i="167"/>
  <c r="D14" i="167" s="1"/>
  <c r="D13" i="167"/>
  <c r="E9" i="167"/>
  <c r="E6" i="167"/>
  <c r="B5" i="167"/>
  <c r="D28" i="167"/>
  <c r="B24" i="167"/>
  <c r="C19" i="167"/>
  <c r="C16" i="167"/>
  <c r="C13" i="167"/>
  <c r="D9" i="167"/>
  <c r="D6" i="167"/>
  <c r="E3" i="167"/>
  <c r="C28" i="167"/>
  <c r="E25" i="167"/>
  <c r="E22" i="167"/>
  <c r="B19" i="167"/>
  <c r="B16" i="167"/>
  <c r="B13" i="167"/>
  <c r="C9" i="167"/>
  <c r="C6" i="167"/>
  <c r="D3" i="167"/>
  <c r="B28" i="167"/>
  <c r="D25" i="167"/>
  <c r="D22" i="167"/>
  <c r="E18" i="167"/>
  <c r="E15" i="167"/>
  <c r="B9" i="167"/>
  <c r="B6" i="167"/>
  <c r="C3" i="167"/>
  <c r="B18" i="416"/>
  <c r="B3" i="416"/>
  <c r="C18" i="416"/>
  <c r="D8" i="416"/>
  <c r="D3" i="416"/>
  <c r="B9" i="416"/>
  <c r="C20" i="416"/>
  <c r="C10" i="416"/>
  <c r="D4" i="416"/>
  <c r="B8" i="416"/>
  <c r="D19" i="416"/>
  <c r="D9" i="416"/>
  <c r="C4" i="416"/>
  <c r="B6" i="416"/>
  <c r="C19" i="416"/>
  <c r="C9" i="416"/>
  <c r="C3" i="416"/>
  <c r="B21" i="416"/>
  <c r="B5" i="416"/>
  <c r="D18" i="416"/>
  <c r="C8" i="416"/>
  <c r="B20" i="416"/>
  <c r="B4" i="416"/>
  <c r="D6" i="416"/>
  <c r="B19" i="416"/>
  <c r="D21" i="416"/>
  <c r="D11" i="416"/>
  <c r="C6" i="416"/>
  <c r="B11" i="416"/>
  <c r="C21" i="416"/>
  <c r="C11" i="416"/>
  <c r="D5" i="416"/>
  <c r="B10" i="416"/>
  <c r="D20" i="416"/>
  <c r="D10" i="416"/>
  <c r="C5" i="416"/>
  <c r="C18" i="168"/>
  <c r="B27" i="168"/>
  <c r="D22" i="168"/>
  <c r="C9" i="168"/>
  <c r="D6" i="168"/>
  <c r="D3" i="168"/>
  <c r="D25" i="168"/>
  <c r="C22" i="168"/>
  <c r="D13" i="168"/>
  <c r="B9" i="168"/>
  <c r="C6" i="168"/>
  <c r="C3" i="168"/>
  <c r="C25" i="168"/>
  <c r="B22" i="168"/>
  <c r="D16" i="168"/>
  <c r="C13" i="168"/>
  <c r="B6" i="168"/>
  <c r="B3" i="168"/>
  <c r="D28" i="168"/>
  <c r="B25" i="168"/>
  <c r="D19" i="168"/>
  <c r="C16" i="168"/>
  <c r="B13" i="168"/>
  <c r="D5" i="168"/>
  <c r="C28" i="168"/>
  <c r="D24" i="168"/>
  <c r="C19" i="168"/>
  <c r="B16" i="168"/>
  <c r="D10" i="168"/>
  <c r="C5" i="168"/>
  <c r="B28" i="168"/>
  <c r="C24" i="168"/>
  <c r="B19" i="168"/>
  <c r="D15" i="168"/>
  <c r="C10" i="168"/>
  <c r="D7" i="168"/>
  <c r="B5" i="168"/>
  <c r="D27" i="168"/>
  <c r="B24" i="168"/>
  <c r="D18" i="168"/>
  <c r="C15" i="168"/>
  <c r="B10" i="168"/>
  <c r="C7" i="168"/>
  <c r="C27" i="168"/>
  <c r="B18" i="168"/>
  <c r="B15" i="168"/>
  <c r="D9" i="168"/>
  <c r="B7" i="168"/>
  <c r="E45" i="406"/>
  <c r="B39" i="403" s="1"/>
  <c r="E28" i="406"/>
  <c r="B22" i="403" s="1"/>
  <c r="P36" i="501" s="1"/>
  <c r="A36" i="501" s="1"/>
  <c r="E44" i="406"/>
  <c r="H3" i="407"/>
  <c r="H4" i="407"/>
  <c r="H5" i="407"/>
  <c r="H6" i="407"/>
  <c r="H7" i="407"/>
  <c r="H8" i="407"/>
  <c r="H9" i="407"/>
  <c r="H10" i="407"/>
  <c r="H11" i="407"/>
  <c r="H2" i="407"/>
  <c r="I3" i="407"/>
  <c r="I4" i="407"/>
  <c r="I5" i="407"/>
  <c r="I6" i="407"/>
  <c r="I7" i="407"/>
  <c r="I8" i="407"/>
  <c r="I9" i="407"/>
  <c r="I10" i="407"/>
  <c r="I11" i="407"/>
  <c r="I2" i="407"/>
  <c r="E29" i="406"/>
  <c r="D27" i="410" l="1"/>
  <c r="F6" i="167"/>
  <c r="D26" i="170"/>
  <c r="D26" i="168"/>
  <c r="C14" i="169"/>
  <c r="D17" i="168"/>
  <c r="C23" i="168"/>
  <c r="E17" i="167"/>
  <c r="C27" i="410"/>
  <c r="F8" i="170"/>
  <c r="E23" i="167"/>
  <c r="C23" i="167"/>
  <c r="C24" i="410"/>
  <c r="D35" i="170"/>
  <c r="D8" i="168"/>
  <c r="D11" i="168" s="1"/>
  <c r="F19" i="167"/>
  <c r="C9" i="410"/>
  <c r="C20" i="170"/>
  <c r="C26" i="170"/>
  <c r="D17" i="169"/>
  <c r="C14" i="168"/>
  <c r="E19" i="168"/>
  <c r="E6" i="168"/>
  <c r="D8" i="167"/>
  <c r="D11" i="167" s="1"/>
  <c r="F10" i="167"/>
  <c r="E7" i="168"/>
  <c r="D4" i="170"/>
  <c r="C17" i="169"/>
  <c r="E28" i="168"/>
  <c r="D20" i="170"/>
  <c r="F28" i="170"/>
  <c r="C23" i="169"/>
  <c r="F22" i="170"/>
  <c r="C26" i="169"/>
  <c r="F28" i="167"/>
  <c r="F16" i="167"/>
  <c r="C15" i="410"/>
  <c r="C18" i="410"/>
  <c r="E18" i="410"/>
  <c r="D2" i="416"/>
  <c r="C26" i="167"/>
  <c r="D26" i="167"/>
  <c r="E26" i="167"/>
  <c r="E29" i="167" s="1"/>
  <c r="F7" i="410"/>
  <c r="D15" i="410"/>
  <c r="F26" i="410"/>
  <c r="E6" i="169"/>
  <c r="E18" i="168"/>
  <c r="B17" i="168"/>
  <c r="C26" i="168"/>
  <c r="E16" i="168"/>
  <c r="E25" i="168"/>
  <c r="C32" i="168"/>
  <c r="C8" i="168"/>
  <c r="C4" i="168" s="1"/>
  <c r="C32" i="167"/>
  <c r="D32" i="167"/>
  <c r="F27" i="167"/>
  <c r="B26" i="167"/>
  <c r="F3" i="167"/>
  <c r="B32" i="167"/>
  <c r="F25" i="410"/>
  <c r="B24" i="410"/>
  <c r="E27" i="410"/>
  <c r="E4" i="410"/>
  <c r="E12" i="410" s="1"/>
  <c r="F20" i="410"/>
  <c r="D24" i="410"/>
  <c r="D30" i="410" s="1"/>
  <c r="F29" i="410"/>
  <c r="F5" i="410"/>
  <c r="B4" i="410"/>
  <c r="D16" i="170"/>
  <c r="E35" i="170"/>
  <c r="D29" i="170"/>
  <c r="E29" i="170"/>
  <c r="E32" i="170" s="1"/>
  <c r="F17" i="170"/>
  <c r="B9" i="258" s="1"/>
  <c r="F7" i="170"/>
  <c r="C32" i="169"/>
  <c r="E13" i="169"/>
  <c r="E27" i="169"/>
  <c r="B26" i="169"/>
  <c r="C8" i="169"/>
  <c r="C4" i="169" s="1"/>
  <c r="C11" i="169" s="1"/>
  <c r="B14" i="416"/>
  <c r="B24" i="416" s="1"/>
  <c r="E4" i="416"/>
  <c r="E19" i="416"/>
  <c r="E32" i="167"/>
  <c r="F5" i="167"/>
  <c r="B33" i="410"/>
  <c r="F3" i="410"/>
  <c r="C4" i="410"/>
  <c r="B4" i="170"/>
  <c r="F9" i="170"/>
  <c r="E25" i="169"/>
  <c r="E10" i="168"/>
  <c r="D14" i="168"/>
  <c r="D23" i="168"/>
  <c r="E3" i="168"/>
  <c r="B32" i="168"/>
  <c r="E9" i="168"/>
  <c r="B8" i="168"/>
  <c r="B4" i="168" s="1"/>
  <c r="E27" i="168"/>
  <c r="B26" i="168"/>
  <c r="E20" i="416"/>
  <c r="B16" i="416"/>
  <c r="B26" i="416" s="1"/>
  <c r="E6" i="416"/>
  <c r="E9" i="416"/>
  <c r="F9" i="167"/>
  <c r="B8" i="167"/>
  <c r="B11" i="167" s="1"/>
  <c r="C8" i="167"/>
  <c r="C4" i="167" s="1"/>
  <c r="F7" i="167"/>
  <c r="E8" i="167"/>
  <c r="E4" i="167" s="1"/>
  <c r="F11" i="410"/>
  <c r="E15" i="410"/>
  <c r="E21" i="410" s="1"/>
  <c r="F28" i="410"/>
  <c r="B27" i="410"/>
  <c r="F6" i="410"/>
  <c r="D9" i="410"/>
  <c r="E24" i="410"/>
  <c r="D4" i="410"/>
  <c r="F6" i="170"/>
  <c r="D10" i="170"/>
  <c r="F12" i="170"/>
  <c r="C10" i="170"/>
  <c r="E20" i="170"/>
  <c r="E10" i="170"/>
  <c r="D8" i="169"/>
  <c r="D4" i="169" s="1"/>
  <c r="D11" i="169" s="1"/>
  <c r="E5" i="169"/>
  <c r="E9" i="169"/>
  <c r="B8" i="169"/>
  <c r="E19" i="169"/>
  <c r="E28" i="169"/>
  <c r="D32" i="169"/>
  <c r="C17" i="168"/>
  <c r="E11" i="416"/>
  <c r="C7" i="416"/>
  <c r="F13" i="167"/>
  <c r="C14" i="167"/>
  <c r="F16" i="410"/>
  <c r="B15" i="410"/>
  <c r="F19" i="410"/>
  <c r="B18" i="410"/>
  <c r="C33" i="410"/>
  <c r="F3" i="170"/>
  <c r="B35" i="170"/>
  <c r="F11" i="170"/>
  <c r="B10" i="170"/>
  <c r="F19" i="170"/>
  <c r="C16" i="170"/>
  <c r="C23" i="170" s="1"/>
  <c r="B14" i="169"/>
  <c r="E15" i="169"/>
  <c r="B6" i="258" s="1"/>
  <c r="D23" i="169"/>
  <c r="E3" i="169"/>
  <c r="B32" i="169"/>
  <c r="E7" i="169"/>
  <c r="C2" i="416"/>
  <c r="D17" i="416"/>
  <c r="D7" i="416"/>
  <c r="F15" i="167"/>
  <c r="B7" i="258" s="1"/>
  <c r="B14" i="167"/>
  <c r="C17" i="167"/>
  <c r="D17" i="167"/>
  <c r="D20" i="167" s="1"/>
  <c r="F15" i="170"/>
  <c r="B16" i="170"/>
  <c r="F18" i="170"/>
  <c r="E22" i="169"/>
  <c r="D26" i="169"/>
  <c r="E10" i="169"/>
  <c r="E24" i="168"/>
  <c r="B23" i="168"/>
  <c r="E13" i="168"/>
  <c r="B15" i="416"/>
  <c r="B25" i="416" s="1"/>
  <c r="E5" i="416"/>
  <c r="C17" i="416"/>
  <c r="E14" i="167"/>
  <c r="F18" i="167"/>
  <c r="B17" i="167"/>
  <c r="F22" i="167"/>
  <c r="D18" i="410"/>
  <c r="F23" i="410"/>
  <c r="D33" i="410"/>
  <c r="F8" i="410"/>
  <c r="F25" i="170"/>
  <c r="F31" i="170"/>
  <c r="F21" i="170"/>
  <c r="B20" i="170"/>
  <c r="D14" i="169"/>
  <c r="B14" i="168"/>
  <c r="E15" i="168"/>
  <c r="E22" i="168"/>
  <c r="D32" i="168"/>
  <c r="E21" i="416"/>
  <c r="E8" i="416"/>
  <c r="B7" i="416"/>
  <c r="B2" i="416"/>
  <c r="E3" i="416"/>
  <c r="B13" i="416"/>
  <c r="F25" i="167"/>
  <c r="F10" i="410"/>
  <c r="B9" i="410"/>
  <c r="E33" i="410"/>
  <c r="E16" i="170"/>
  <c r="F27" i="170"/>
  <c r="B26" i="170"/>
  <c r="C35" i="170"/>
  <c r="E5" i="168"/>
  <c r="E10" i="416"/>
  <c r="E18" i="416"/>
  <c r="B17" i="416"/>
  <c r="F24" i="167"/>
  <c r="B23" i="167"/>
  <c r="D23" i="167"/>
  <c r="F14" i="410"/>
  <c r="F17" i="410"/>
  <c r="F30" i="170"/>
  <c r="B29" i="170"/>
  <c r="F5" i="170"/>
  <c r="C4" i="170"/>
  <c r="E4" i="170"/>
  <c r="C29" i="170"/>
  <c r="E18" i="169"/>
  <c r="B17" i="169"/>
  <c r="E16" i="169"/>
  <c r="B23" i="169"/>
  <c r="E24" i="169"/>
  <c r="P31" i="501"/>
  <c r="A31" i="501" s="1"/>
  <c r="B23" i="403"/>
  <c r="B38" i="403"/>
  <c r="D29" i="168" l="1"/>
  <c r="C30" i="410"/>
  <c r="D32" i="170"/>
  <c r="D20" i="168"/>
  <c r="D4" i="168"/>
  <c r="E4" i="168" s="1"/>
  <c r="F26" i="170"/>
  <c r="E20" i="167"/>
  <c r="C20" i="169"/>
  <c r="C29" i="168"/>
  <c r="C29" i="167"/>
  <c r="D20" i="169"/>
  <c r="C12" i="410"/>
  <c r="C20" i="168"/>
  <c r="E23" i="170"/>
  <c r="C29" i="169"/>
  <c r="C32" i="170"/>
  <c r="D29" i="167"/>
  <c r="D31" i="167" s="1"/>
  <c r="D29" i="169"/>
  <c r="B29" i="169"/>
  <c r="D4" i="167"/>
  <c r="D21" i="410"/>
  <c r="F20" i="170"/>
  <c r="D23" i="170"/>
  <c r="B29" i="167"/>
  <c r="D13" i="170"/>
  <c r="C21" i="410"/>
  <c r="E17" i="169"/>
  <c r="F9" i="410"/>
  <c r="E13" i="170"/>
  <c r="E32" i="169"/>
  <c r="E8" i="169"/>
  <c r="D12" i="410"/>
  <c r="C13" i="170"/>
  <c r="B5" i="258"/>
  <c r="B3" i="391" s="1"/>
  <c r="B2" i="391"/>
  <c r="F26" i="167"/>
  <c r="E30" i="410"/>
  <c r="E32" i="410" s="1"/>
  <c r="C11" i="168"/>
  <c r="C20" i="167"/>
  <c r="F29" i="170"/>
  <c r="E26" i="169"/>
  <c r="E23" i="168"/>
  <c r="F18" i="410"/>
  <c r="F17" i="167"/>
  <c r="E8" i="168"/>
  <c r="E2" i="416"/>
  <c r="E14" i="168"/>
  <c r="F24" i="410"/>
  <c r="E7" i="416"/>
  <c r="E32" i="168"/>
  <c r="E14" i="416"/>
  <c r="E24" i="416" s="1"/>
  <c r="F4" i="410"/>
  <c r="B20" i="168"/>
  <c r="F27" i="410"/>
  <c r="F10" i="170"/>
  <c r="E17" i="168"/>
  <c r="E17" i="416"/>
  <c r="F16" i="170"/>
  <c r="F14" i="167"/>
  <c r="E14" i="169"/>
  <c r="B13" i="170"/>
  <c r="F15" i="410"/>
  <c r="E16" i="416"/>
  <c r="E26" i="416" s="1"/>
  <c r="B11" i="168"/>
  <c r="F4" i="170"/>
  <c r="F35" i="170"/>
  <c r="E11" i="167"/>
  <c r="F8" i="167"/>
  <c r="F33" i="410"/>
  <c r="C2" i="156" s="1"/>
  <c r="C4" i="156" s="1"/>
  <c r="F23" i="167"/>
  <c r="E23" i="169"/>
  <c r="B4" i="169"/>
  <c r="B4" i="167"/>
  <c r="F32" i="167"/>
  <c r="C11" i="167"/>
  <c r="B30" i="410"/>
  <c r="B23" i="416"/>
  <c r="B12" i="416"/>
  <c r="B22" i="416" s="1"/>
  <c r="B29" i="168"/>
  <c r="B21" i="410"/>
  <c r="E13" i="416"/>
  <c r="B32" i="170"/>
  <c r="E15" i="416"/>
  <c r="E25" i="416" s="1"/>
  <c r="B23" i="170"/>
  <c r="B20" i="167"/>
  <c r="E26" i="168"/>
  <c r="B12" i="410"/>
  <c r="B20" i="169"/>
  <c r="P36" i="500"/>
  <c r="A36" i="500" s="1"/>
  <c r="P31" i="500"/>
  <c r="A31" i="500" s="1"/>
  <c r="D31" i="168" l="1"/>
  <c r="E20" i="168"/>
  <c r="E29" i="168"/>
  <c r="E31" i="167"/>
  <c r="E20" i="169"/>
  <c r="D34" i="170"/>
  <c r="C31" i="168"/>
  <c r="C31" i="169"/>
  <c r="C32" i="410"/>
  <c r="D31" i="169"/>
  <c r="F32" i="170"/>
  <c r="C224" i="273" s="1"/>
  <c r="C34" i="170"/>
  <c r="E34" i="170"/>
  <c r="F23" i="170"/>
  <c r="C227" i="273" s="1"/>
  <c r="E29" i="169"/>
  <c r="F29" i="167"/>
  <c r="F21" i="410"/>
  <c r="C226" i="273" s="1"/>
  <c r="D32" i="410"/>
  <c r="F4" i="167"/>
  <c r="F13" i="170"/>
  <c r="F20" i="167"/>
  <c r="F30" i="410"/>
  <c r="C221" i="273" s="1"/>
  <c r="C31" i="167"/>
  <c r="E4" i="169"/>
  <c r="B11" i="169"/>
  <c r="F11" i="167"/>
  <c r="B31" i="167"/>
  <c r="E11" i="168"/>
  <c r="B31" i="168"/>
  <c r="E12" i="416"/>
  <c r="E22" i="416" s="1"/>
  <c r="E23" i="416"/>
  <c r="B34" i="170"/>
  <c r="F12" i="410"/>
  <c r="B32" i="410"/>
  <c r="B12" i="391"/>
  <c r="B13" i="391"/>
  <c r="F32" i="410" l="1"/>
  <c r="B2" i="156" s="1"/>
  <c r="B4" i="156" s="1"/>
  <c r="E31" i="168"/>
  <c r="F34" i="170"/>
  <c r="F31" i="167"/>
  <c r="E11" i="169"/>
  <c r="B31" i="169"/>
  <c r="E31" i="169" s="1"/>
  <c r="S6" i="500"/>
  <c r="E6" i="177" s="1"/>
  <c r="S14" i="500"/>
  <c r="S22" i="500"/>
  <c r="S30" i="500"/>
  <c r="S38" i="500"/>
  <c r="S46" i="500"/>
  <c r="S54" i="500"/>
  <c r="S7" i="500"/>
  <c r="E7" i="177" s="1"/>
  <c r="S15" i="500"/>
  <c r="S23" i="500"/>
  <c r="S31" i="500"/>
  <c r="S39" i="500"/>
  <c r="S47" i="500"/>
  <c r="S55" i="500"/>
  <c r="S9" i="500"/>
  <c r="S25" i="500"/>
  <c r="S41" i="500"/>
  <c r="S57" i="500"/>
  <c r="S8" i="500"/>
  <c r="S16" i="500"/>
  <c r="S24" i="500"/>
  <c r="S32" i="500"/>
  <c r="S40" i="500"/>
  <c r="S48" i="500"/>
  <c r="S56" i="500"/>
  <c r="S17" i="500"/>
  <c r="S33" i="500"/>
  <c r="S49" i="500"/>
  <c r="S10" i="500"/>
  <c r="S18" i="500"/>
  <c r="S26" i="500"/>
  <c r="S34" i="500"/>
  <c r="S42" i="500"/>
  <c r="S50" i="500"/>
  <c r="S2" i="500"/>
  <c r="E2" i="177" s="1"/>
  <c r="S3" i="500"/>
  <c r="E3" i="177" s="1"/>
  <c r="S11" i="500"/>
  <c r="S19" i="500"/>
  <c r="S27" i="500"/>
  <c r="S35" i="500"/>
  <c r="S43" i="500"/>
  <c r="S51" i="500"/>
  <c r="S4" i="500"/>
  <c r="E4" i="177" s="1"/>
  <c r="S12" i="500"/>
  <c r="S20" i="500"/>
  <c r="S28" i="500"/>
  <c r="S36" i="500"/>
  <c r="S44" i="500"/>
  <c r="S52" i="500"/>
  <c r="S5" i="500"/>
  <c r="E5" i="177" s="1"/>
  <c r="S13" i="500"/>
  <c r="S21" i="500"/>
  <c r="S29" i="500"/>
  <c r="S37" i="500"/>
  <c r="S45" i="500"/>
  <c r="S53" i="500"/>
  <c r="T2" i="500"/>
  <c r="C2" i="177" s="1"/>
  <c r="T45" i="500"/>
  <c r="T9" i="500"/>
  <c r="T4" i="500"/>
  <c r="C4" i="177" s="1"/>
  <c r="T29" i="500"/>
  <c r="T18" i="500"/>
  <c r="T14" i="500"/>
  <c r="T49" i="500"/>
  <c r="T52" i="500"/>
  <c r="T57" i="500"/>
  <c r="T35" i="500"/>
  <c r="T48" i="500"/>
  <c r="T13" i="500"/>
  <c r="T50" i="500"/>
  <c r="T44" i="500"/>
  <c r="T19" i="500"/>
  <c r="T47" i="500"/>
  <c r="T25" i="500"/>
  <c r="T5" i="500"/>
  <c r="C5" i="177" s="1"/>
  <c r="T40" i="500"/>
  <c r="T33" i="500"/>
  <c r="T30" i="500"/>
  <c r="T27" i="500"/>
  <c r="T53" i="500"/>
  <c r="T26" i="500"/>
  <c r="T3" i="500"/>
  <c r="C3" i="177" s="1"/>
  <c r="T15" i="500"/>
  <c r="T37" i="500"/>
  <c r="T36" i="500"/>
  <c r="T31" i="500"/>
  <c r="T11" i="500"/>
  <c r="T22" i="500"/>
  <c r="T28" i="500"/>
  <c r="T38" i="500"/>
  <c r="T20" i="500"/>
  <c r="T8" i="500"/>
  <c r="T17" i="500"/>
  <c r="T32" i="500"/>
  <c r="T6" i="500"/>
  <c r="C6" i="177" s="1"/>
  <c r="T16" i="500"/>
  <c r="T54" i="500"/>
  <c r="T56" i="500"/>
  <c r="T23" i="500"/>
  <c r="T42" i="500"/>
  <c r="T43" i="500"/>
  <c r="T24" i="500"/>
  <c r="T51" i="500"/>
  <c r="T34" i="500"/>
  <c r="T10" i="500"/>
  <c r="T21" i="500"/>
  <c r="T41" i="500"/>
  <c r="T46" i="500"/>
  <c r="T7" i="500"/>
  <c r="C7" i="177" s="1"/>
  <c r="T55" i="500"/>
  <c r="T39" i="500"/>
  <c r="T12" i="500"/>
  <c r="C25" i="177" l="1"/>
  <c r="E25" i="177"/>
  <c r="G9" i="401"/>
  <c r="B51" i="403"/>
  <c r="E27" i="406"/>
  <c r="B21" i="403" s="1"/>
  <c r="E33" i="406"/>
  <c r="B27" i="403" s="1"/>
  <c r="E32" i="406"/>
  <c r="B26" i="403" s="1"/>
  <c r="E31" i="406"/>
  <c r="B25" i="403" s="1"/>
  <c r="D33" i="406"/>
  <c r="D32" i="406"/>
  <c r="E26" i="406"/>
  <c r="B20" i="403" s="1"/>
  <c r="E25" i="406"/>
  <c r="B19" i="403" s="1"/>
  <c r="D15" i="406"/>
  <c r="E15" i="406" s="1"/>
  <c r="B9" i="403" s="1"/>
  <c r="D14" i="406"/>
  <c r="E14" i="406" s="1"/>
  <c r="B8" i="403" s="1"/>
  <c r="C34" i="406"/>
  <c r="D34" i="406" s="1"/>
  <c r="D40" i="406"/>
  <c r="E40" i="406" s="1"/>
  <c r="B34" i="403" s="1"/>
  <c r="D37" i="406"/>
  <c r="E37" i="406" s="1"/>
  <c r="B31" i="403" s="1"/>
  <c r="B8"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B6" i="403"/>
  <c r="B28" i="403"/>
  <c r="B6" i="251" s="1"/>
  <c r="P30" i="501" l="1"/>
  <c r="A30" i="501" s="1"/>
  <c r="P30" i="500"/>
  <c r="A30" i="500" s="1"/>
  <c r="C3" i="405" l="1"/>
  <c r="B3" i="405"/>
  <c r="A3" i="405"/>
  <c r="C2" i="405"/>
  <c r="B2" i="405"/>
  <c r="A2" i="405"/>
  <c r="B3" i="400"/>
  <c r="C9" i="402"/>
  <c r="B3" i="402"/>
  <c r="B4" i="402"/>
  <c r="B5" i="402"/>
  <c r="B6" i="402"/>
  <c r="B7" i="402"/>
  <c r="B8" i="402"/>
  <c r="B9" i="402"/>
  <c r="B10" i="402"/>
  <c r="B11" i="402"/>
  <c r="B12" i="402"/>
  <c r="B13" i="402"/>
  <c r="B14" i="402"/>
  <c r="B15" i="402"/>
  <c r="B16" i="402"/>
  <c r="B2" i="402"/>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G7" i="404"/>
  <c r="K7" i="404" s="1"/>
  <c r="C7" i="404"/>
  <c r="B24" i="404"/>
  <c r="U21" i="501" s="1"/>
  <c r="V21" i="501" s="1"/>
  <c r="M24" i="404"/>
  <c r="H16" i="404"/>
  <c r="G16" i="404"/>
  <c r="G15" i="404" s="1"/>
  <c r="C16" i="404"/>
  <c r="G28" i="266"/>
  <c r="F28" i="266"/>
  <c r="G27" i="266"/>
  <c r="F27" i="266"/>
  <c r="G26" i="266"/>
  <c r="F26" i="266"/>
  <c r="F26" i="268"/>
  <c r="G26" i="268"/>
  <c r="F27" i="268"/>
  <c r="G27" i="268"/>
  <c r="K5" i="404"/>
  <c r="K6" i="404"/>
  <c r="K8" i="404"/>
  <c r="K9" i="404"/>
  <c r="K10" i="404"/>
  <c r="K11" i="404"/>
  <c r="K12" i="404"/>
  <c r="K13" i="404"/>
  <c r="K17" i="404"/>
  <c r="K18" i="404"/>
  <c r="K23" i="404"/>
  <c r="K28" i="404"/>
  <c r="K29" i="404"/>
  <c r="F5" i="404"/>
  <c r="F6" i="404"/>
  <c r="F8" i="404"/>
  <c r="F9" i="404"/>
  <c r="F10" i="404"/>
  <c r="F11" i="404"/>
  <c r="F12" i="404"/>
  <c r="F13" i="404"/>
  <c r="F16" i="404"/>
  <c r="F17" i="404"/>
  <c r="F18" i="404"/>
  <c r="F29" i="404"/>
  <c r="K2" i="404"/>
  <c r="D2" i="404"/>
  <c r="E2" i="404"/>
  <c r="K3" i="404"/>
  <c r="F3" i="404"/>
  <c r="B4" i="401"/>
  <c r="C92" i="394"/>
  <c r="C90" i="394"/>
  <c r="B2" i="393"/>
  <c r="B3" i="399"/>
  <c r="B2" i="399"/>
  <c r="B34" i="399"/>
  <c r="B39" i="399"/>
  <c r="B38" i="399"/>
  <c r="P11" i="501" l="1"/>
  <c r="P12" i="501"/>
  <c r="P26" i="501"/>
  <c r="P12" i="500"/>
  <c r="A12" i="500" s="1"/>
  <c r="D31" i="404"/>
  <c r="D2" i="405"/>
  <c r="D3" i="405"/>
  <c r="L18" i="404"/>
  <c r="D9" i="402"/>
  <c r="L12" i="404"/>
  <c r="L29" i="404"/>
  <c r="L13" i="404"/>
  <c r="K4" i="404"/>
  <c r="C2" i="404"/>
  <c r="F2" i="404" s="1"/>
  <c r="F7" i="404"/>
  <c r="K24" i="404"/>
  <c r="P21" i="501" s="1"/>
  <c r="F20" i="404"/>
  <c r="K20" i="404"/>
  <c r="K16" i="404"/>
  <c r="G31" i="404"/>
  <c r="B4" i="399"/>
  <c r="C6" i="345"/>
  <c r="B6" i="345"/>
  <c r="D10" i="397"/>
  <c r="N29" i="404" l="1"/>
  <c r="W26" i="501"/>
  <c r="X26" i="501" s="1"/>
  <c r="N12" i="404"/>
  <c r="W11" i="501"/>
  <c r="X11" i="501" s="1"/>
  <c r="N18" i="404"/>
  <c r="W15" i="501"/>
  <c r="N13" i="404"/>
  <c r="W12" i="501"/>
  <c r="X12" i="501" s="1"/>
  <c r="A12" i="501"/>
  <c r="A21" i="501"/>
  <c r="A26" i="501"/>
  <c r="A11" i="501"/>
  <c r="P15" i="500"/>
  <c r="A15" i="500" s="1"/>
  <c r="P15" i="501"/>
  <c r="P11" i="500"/>
  <c r="A11" i="500" s="1"/>
  <c r="P26" i="500"/>
  <c r="A26" i="500" s="1"/>
  <c r="P21" i="500"/>
  <c r="L24" i="404"/>
  <c r="C4" i="348"/>
  <c r="B4" i="348"/>
  <c r="C4" i="350"/>
  <c r="B4" i="350"/>
  <c r="B23" i="352"/>
  <c r="B26" i="352" s="1"/>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C11" i="395"/>
  <c r="C2" i="239" s="1"/>
  <c r="C5" i="239" s="1"/>
  <c r="B11" i="395"/>
  <c r="B2" i="239" s="1"/>
  <c r="B5" i="239" s="1"/>
  <c r="C5" i="395"/>
  <c r="C7" i="239" s="1"/>
  <c r="C23" i="282" s="1"/>
  <c r="B5" i="395"/>
  <c r="B7" i="239" s="1"/>
  <c r="B23" i="282" s="1"/>
  <c r="C77" i="394"/>
  <c r="B21" i="258" s="1"/>
  <c r="B15" i="392"/>
  <c r="B6" i="392"/>
  <c r="B17" i="392"/>
  <c r="B16" i="392"/>
  <c r="B8" i="392"/>
  <c r="B7" i="392"/>
  <c r="B21" i="392"/>
  <c r="B10" i="239" l="1"/>
  <c r="B22" i="282"/>
  <c r="C10" i="239"/>
  <c r="C22" i="282"/>
  <c r="X15" i="501"/>
  <c r="N24" i="404"/>
  <c r="W21" i="501"/>
  <c r="X21" i="501" s="1"/>
  <c r="A15" i="501"/>
  <c r="A21" i="500"/>
  <c r="C3" i="398"/>
  <c r="C4" i="397"/>
  <c r="K124" i="502"/>
  <c r="B3" i="396"/>
  <c r="A12" i="390" l="1"/>
  <c r="A11" i="390"/>
  <c r="A10" i="390"/>
  <c r="A9" i="390"/>
  <c r="A8" i="390"/>
  <c r="A7" i="390"/>
  <c r="A6" i="390"/>
  <c r="A5" i="390"/>
  <c r="A4" i="390"/>
  <c r="A3" i="390"/>
  <c r="A2" i="390"/>
  <c r="B3" i="389"/>
  <c r="K175" i="502" s="1"/>
  <c r="B2" i="389"/>
  <c r="K188" i="502" s="1"/>
  <c r="B2" i="390" l="1"/>
  <c r="C2" i="390"/>
  <c r="B3" i="390"/>
  <c r="C3" i="390"/>
  <c r="B4" i="390"/>
  <c r="C4" i="390"/>
  <c r="B5" i="390"/>
  <c r="C5" i="390"/>
  <c r="B10" i="390"/>
  <c r="C10" i="390"/>
  <c r="B11" i="390"/>
  <c r="C11" i="390"/>
  <c r="B6" i="390"/>
  <c r="C6" i="390"/>
  <c r="B9" i="390"/>
  <c r="C9" i="390"/>
  <c r="B7" i="390"/>
  <c r="C7" i="390"/>
  <c r="B8" i="390"/>
  <c r="C8" i="390"/>
  <c r="D8" i="390" l="1"/>
  <c r="D11" i="390"/>
  <c r="D9" i="390"/>
  <c r="D5" i="390"/>
  <c r="D6" i="390"/>
  <c r="D4" i="390"/>
  <c r="D7" i="390"/>
  <c r="D3" i="390"/>
  <c r="D10" i="390"/>
  <c r="D2" i="390"/>
  <c r="C12" i="390"/>
  <c r="K328" i="502"/>
  <c r="K332" i="502" s="1"/>
  <c r="G2" i="223"/>
  <c r="C6" i="223"/>
  <c r="C2" i="222" s="1"/>
  <c r="C5" i="222" s="1"/>
  <c r="D6" i="223"/>
  <c r="E6" i="223"/>
  <c r="F6" i="223"/>
  <c r="B6" i="223"/>
  <c r="B2" i="222" s="1"/>
  <c r="E2" i="215"/>
  <c r="C12" i="215"/>
  <c r="D12" i="215"/>
  <c r="B12" i="215"/>
  <c r="C3" i="213" s="1"/>
  <c r="C15" i="214"/>
  <c r="C2" i="213" s="1"/>
  <c r="B15" i="214"/>
  <c r="B2" i="213" s="1"/>
  <c r="C7" i="209"/>
  <c r="B7" i="209"/>
  <c r="F4" i="206"/>
  <c r="G4" i="206"/>
  <c r="H4" i="206"/>
  <c r="I4" i="206"/>
  <c r="J4" i="206"/>
  <c r="K4" i="206"/>
  <c r="E4" i="206"/>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B6" i="200"/>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C12" i="179"/>
  <c r="B12" i="179"/>
  <c r="C9" i="401"/>
  <c r="H9" i="401" s="1"/>
  <c r="D9" i="401"/>
  <c r="E9" i="401"/>
  <c r="I9" i="401" s="1"/>
  <c r="B9" i="401"/>
  <c r="C8" i="401"/>
  <c r="H8" i="401" s="1"/>
  <c r="D8" i="401"/>
  <c r="E8" i="401"/>
  <c r="I8" i="401" s="1"/>
  <c r="B8" i="401"/>
  <c r="K282" i="502"/>
  <c r="B26" i="391"/>
  <c r="B35" i="391" s="1"/>
  <c r="C27" i="404"/>
  <c r="F27" i="404" s="1"/>
  <c r="H27" i="404"/>
  <c r="K27" i="404" s="1"/>
  <c r="H3" i="172"/>
  <c r="H4" i="172"/>
  <c r="H5" i="172"/>
  <c r="H2" i="172"/>
  <c r="C6" i="172"/>
  <c r="D6" i="172"/>
  <c r="E6" i="172"/>
  <c r="F6" i="172"/>
  <c r="G6" i="172"/>
  <c r="B6" i="172"/>
  <c r="C30" i="404"/>
  <c r="F30" i="404" s="1"/>
  <c r="H30" i="404"/>
  <c r="J30" i="404"/>
  <c r="B25" i="404"/>
  <c r="U22" i="501" s="1"/>
  <c r="V22" i="501" s="1"/>
  <c r="M25" i="404"/>
  <c r="B13" i="165"/>
  <c r="C23" i="404" s="1"/>
  <c r="F23" i="404" s="1"/>
  <c r="K10" i="164"/>
  <c r="J10" i="164"/>
  <c r="D10" i="164"/>
  <c r="E10" i="164"/>
  <c r="F10" i="164"/>
  <c r="C10" i="164"/>
  <c r="M23" i="404"/>
  <c r="B23" i="404"/>
  <c r="U20" i="501" s="1"/>
  <c r="V20" i="501" s="1"/>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I13" i="376"/>
  <c r="F13" i="376"/>
  <c r="A13" i="376" s="1"/>
  <c r="I12" i="376"/>
  <c r="F12" i="376"/>
  <c r="A12" i="376" s="1"/>
  <c r="I11" i="376"/>
  <c r="F11" i="376"/>
  <c r="A11" i="376" s="1"/>
  <c r="I10" i="376"/>
  <c r="F10" i="376"/>
  <c r="I9" i="376"/>
  <c r="F9" i="376"/>
  <c r="I8" i="376"/>
  <c r="F8" i="376"/>
  <c r="A8" i="376" s="1"/>
  <c r="I7" i="376"/>
  <c r="F7" i="376"/>
  <c r="I6" i="376"/>
  <c r="F6" i="376"/>
  <c r="I5" i="376"/>
  <c r="F5" i="376"/>
  <c r="A5" i="376" s="1"/>
  <c r="I4" i="376"/>
  <c r="F4" i="376"/>
  <c r="A4" i="376" s="1"/>
  <c r="I3" i="376"/>
  <c r="F3" i="376"/>
  <c r="A3" i="376" s="1"/>
  <c r="I2" i="376"/>
  <c r="F2" i="376"/>
  <c r="H21" i="404"/>
  <c r="K21" i="404" s="1"/>
  <c r="C21" i="404"/>
  <c r="F21" i="404" s="1"/>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O11" i="375"/>
  <c r="P11" i="375"/>
  <c r="Q11" i="375"/>
  <c r="O12" i="375"/>
  <c r="P12" i="375"/>
  <c r="Q12" i="375"/>
  <c r="O13" i="375"/>
  <c r="P13" i="375"/>
  <c r="Q13" i="375"/>
  <c r="P2" i="375"/>
  <c r="Q5" i="375"/>
  <c r="Q6" i="375"/>
  <c r="Q7" i="375"/>
  <c r="Q8" i="375"/>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B19" i="404"/>
  <c r="U16" i="501" s="1"/>
  <c r="V16" i="501" s="1"/>
  <c r="F2" i="121"/>
  <c r="C9" i="121"/>
  <c r="D9" i="121"/>
  <c r="E9" i="121"/>
  <c r="C28" i="404" s="1"/>
  <c r="F28" i="404" s="1"/>
  <c r="B9" i="121"/>
  <c r="F4" i="116"/>
  <c r="F5" i="116"/>
  <c r="F6" i="116"/>
  <c r="F7" i="116"/>
  <c r="F8" i="116"/>
  <c r="F9" i="116"/>
  <c r="F10" i="116"/>
  <c r="F11" i="116"/>
  <c r="F3" i="116"/>
  <c r="C12" i="116"/>
  <c r="D12" i="116"/>
  <c r="B12" i="116"/>
  <c r="D3" i="112"/>
  <c r="D4" i="112"/>
  <c r="D2" i="112"/>
  <c r="D5" i="112" s="1"/>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K3" i="360"/>
  <c r="K4" i="360"/>
  <c r="K5" i="360"/>
  <c r="K6" i="360"/>
  <c r="K7" i="360"/>
  <c r="K8" i="360"/>
  <c r="K9" i="360"/>
  <c r="K10" i="360"/>
  <c r="K11" i="360"/>
  <c r="K12" i="360"/>
  <c r="K13" i="360"/>
  <c r="K14" i="360"/>
  <c r="K15" i="360"/>
  <c r="K16" i="360"/>
  <c r="K17" i="360"/>
  <c r="K18" i="360"/>
  <c r="K19" i="360"/>
  <c r="K20" i="360"/>
  <c r="K2" i="360"/>
  <c r="P2" i="360" s="1"/>
  <c r="J2" i="360"/>
  <c r="S21" i="359"/>
  <c r="Z21" i="359" s="1"/>
  <c r="AA21" i="359"/>
  <c r="AB21" i="359"/>
  <c r="AC21" i="359"/>
  <c r="AD21" i="359"/>
  <c r="AE21" i="359"/>
  <c r="AF21" i="359"/>
  <c r="S22" i="359"/>
  <c r="Z22" i="359" s="1"/>
  <c r="AA22" i="359"/>
  <c r="AB22" i="359"/>
  <c r="AC22" i="359"/>
  <c r="AD22" i="359"/>
  <c r="AE22" i="359"/>
  <c r="AF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s="1"/>
  <c r="AA144" i="359"/>
  <c r="AB144" i="359"/>
  <c r="AC144" i="359"/>
  <c r="AD144" i="359"/>
  <c r="AE144" i="359"/>
  <c r="AF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S264" i="359"/>
  <c r="Z264" i="359" s="1"/>
  <c r="AA264" i="359"/>
  <c r="AB264" i="359"/>
  <c r="AC264" i="359"/>
  <c r="AD264" i="359"/>
  <c r="AE264" i="359"/>
  <c r="AF264" i="359"/>
  <c r="S265" i="359"/>
  <c r="Z265" i="359" s="1"/>
  <c r="AA265" i="359"/>
  <c r="AB265" i="359"/>
  <c r="AC265" i="359"/>
  <c r="AD265" i="359"/>
  <c r="AE265" i="359"/>
  <c r="AF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K3" i="365"/>
  <c r="K4" i="365"/>
  <c r="K5" i="365"/>
  <c r="K6" i="365"/>
  <c r="K7" i="365"/>
  <c r="K8" i="365"/>
  <c r="K9" i="365"/>
  <c r="K10" i="365"/>
  <c r="K11" i="365"/>
  <c r="K12" i="365"/>
  <c r="K13" i="365"/>
  <c r="K14" i="365"/>
  <c r="K15" i="365"/>
  <c r="K16" i="365"/>
  <c r="K17" i="365"/>
  <c r="K18" i="365"/>
  <c r="K19" i="365"/>
  <c r="K20" i="365"/>
  <c r="K21" i="365"/>
  <c r="K2" i="365"/>
  <c r="D2" i="48"/>
  <c r="A21" i="369"/>
  <c r="A20" i="369"/>
  <c r="A19" i="369"/>
  <c r="A18" i="369"/>
  <c r="A17" i="369"/>
  <c r="A16" i="369"/>
  <c r="A15" i="369"/>
  <c r="A14" i="369"/>
  <c r="A13" i="369"/>
  <c r="A12" i="369"/>
  <c r="A11" i="369"/>
  <c r="A10" i="369"/>
  <c r="A9" i="369"/>
  <c r="A8" i="369"/>
  <c r="A7" i="369"/>
  <c r="A6" i="369"/>
  <c r="A5" i="369"/>
  <c r="A4" i="369"/>
  <c r="A3" i="369"/>
  <c r="A2" i="369"/>
  <c r="A21" i="368"/>
  <c r="A20" i="368"/>
  <c r="A19" i="368"/>
  <c r="A18" i="368"/>
  <c r="A17" i="368"/>
  <c r="A16" i="368"/>
  <c r="A15" i="368"/>
  <c r="A14" i="368"/>
  <c r="A13" i="368"/>
  <c r="A12" i="368"/>
  <c r="A11" i="368"/>
  <c r="A10" i="368"/>
  <c r="A9" i="368"/>
  <c r="A8" i="368"/>
  <c r="A7" i="368"/>
  <c r="A6" i="368"/>
  <c r="A5" i="368"/>
  <c r="A4" i="368"/>
  <c r="A3" i="368"/>
  <c r="A2" i="368"/>
  <c r="A21" i="367"/>
  <c r="A20" i="367"/>
  <c r="A19" i="367"/>
  <c r="A18" i="367"/>
  <c r="A17" i="367"/>
  <c r="A16" i="367"/>
  <c r="A15" i="367"/>
  <c r="A14" i="367"/>
  <c r="A13" i="367"/>
  <c r="A12" i="367"/>
  <c r="A11" i="367"/>
  <c r="A10" i="367"/>
  <c r="A9" i="367"/>
  <c r="A8" i="367"/>
  <c r="A7" i="367"/>
  <c r="A6" i="367"/>
  <c r="A5" i="367"/>
  <c r="A4" i="367"/>
  <c r="A3" i="367"/>
  <c r="A2" i="367"/>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A3" i="366"/>
  <c r="A4" i="366"/>
  <c r="A5" i="366"/>
  <c r="A6" i="366"/>
  <c r="A7" i="366"/>
  <c r="A8" i="366"/>
  <c r="A9" i="366"/>
  <c r="A10" i="366"/>
  <c r="A11" i="366"/>
  <c r="A12" i="366"/>
  <c r="A13" i="366"/>
  <c r="A14" i="366"/>
  <c r="A2" i="366"/>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A11" i="363" s="1"/>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24" i="363"/>
  <c r="N6" i="363"/>
  <c r="N5" i="363"/>
  <c r="N4" i="363"/>
  <c r="N3" i="363"/>
  <c r="N2" i="363"/>
  <c r="J2" i="363"/>
  <c r="A2" i="363" s="1"/>
  <c r="C3" i="354"/>
  <c r="K377" i="502" s="1"/>
  <c r="C4" i="354"/>
  <c r="K378" i="502" s="1"/>
  <c r="C2" i="354"/>
  <c r="K376" i="502" s="1"/>
  <c r="B3" i="354"/>
  <c r="B4" i="354"/>
  <c r="B2" i="354"/>
  <c r="A3" i="362"/>
  <c r="A4" i="362"/>
  <c r="A5" i="362"/>
  <c r="A6" i="362"/>
  <c r="A7" i="362"/>
  <c r="A8" i="362"/>
  <c r="A9" i="362"/>
  <c r="A10" i="362"/>
  <c r="A11" i="362"/>
  <c r="A12" i="362"/>
  <c r="A13" i="362"/>
  <c r="A14" i="362"/>
  <c r="A2" i="362"/>
  <c r="K283" i="502" l="1"/>
  <c r="B4" i="393"/>
  <c r="B7" i="393" s="1"/>
  <c r="C4" i="213"/>
  <c r="D2" i="222"/>
  <c r="D5" i="222" s="1"/>
  <c r="K296" i="502"/>
  <c r="B2" i="127"/>
  <c r="C28" i="153"/>
  <c r="C17" i="153"/>
  <c r="C11" i="153"/>
  <c r="C6" i="153"/>
  <c r="B28" i="153"/>
  <c r="B17" i="153"/>
  <c r="B11" i="153"/>
  <c r="B6" i="153"/>
  <c r="B23" i="153"/>
  <c r="C16" i="153"/>
  <c r="C10" i="153"/>
  <c r="C9" i="153" s="1"/>
  <c r="C26" i="153"/>
  <c r="C20" i="153"/>
  <c r="B16" i="153"/>
  <c r="B10" i="153"/>
  <c r="C5" i="153"/>
  <c r="B26" i="153"/>
  <c r="B20" i="153"/>
  <c r="C8" i="153"/>
  <c r="B5" i="153"/>
  <c r="C25" i="153"/>
  <c r="C19" i="153"/>
  <c r="B8" i="153"/>
  <c r="C3" i="153"/>
  <c r="C29" i="153"/>
  <c r="B25" i="153"/>
  <c r="B19" i="153"/>
  <c r="C14" i="153"/>
  <c r="C7" i="153"/>
  <c r="B3" i="153"/>
  <c r="B29" i="153"/>
  <c r="B14" i="153"/>
  <c r="B7" i="153"/>
  <c r="B5" i="222"/>
  <c r="B45" i="283"/>
  <c r="B50" i="283" s="1"/>
  <c r="D11" i="401"/>
  <c r="B11" i="401"/>
  <c r="K380" i="502"/>
  <c r="B8" i="393"/>
  <c r="D3" i="48"/>
  <c r="C4" i="225"/>
  <c r="C2" i="225"/>
  <c r="C3" i="225"/>
  <c r="C5" i="225"/>
  <c r="P25" i="501"/>
  <c r="P20" i="500"/>
  <c r="A20" i="500" s="1"/>
  <c r="P25" i="500"/>
  <c r="A25" i="500" s="1"/>
  <c r="W10" i="375"/>
  <c r="AG144" i="359"/>
  <c r="AG22" i="359"/>
  <c r="W12" i="375"/>
  <c r="G6" i="223"/>
  <c r="AG250" i="359"/>
  <c r="AG330" i="359"/>
  <c r="AG265" i="359"/>
  <c r="AG264" i="359"/>
  <c r="AG263" i="359"/>
  <c r="W8" i="375"/>
  <c r="J6" i="376"/>
  <c r="J10" i="376"/>
  <c r="J14" i="376"/>
  <c r="AG82" i="359"/>
  <c r="AG138" i="359"/>
  <c r="AG96" i="359"/>
  <c r="AG87" i="359"/>
  <c r="AG122" i="359"/>
  <c r="AG329" i="359"/>
  <c r="AG328" i="359"/>
  <c r="AG327" i="359"/>
  <c r="AG326" i="359"/>
  <c r="AG325" i="359"/>
  <c r="AG175" i="359"/>
  <c r="AG255" i="359"/>
  <c r="AG202" i="359"/>
  <c r="L28" i="404"/>
  <c r="AG287" i="359"/>
  <c r="AG223" i="359"/>
  <c r="AG222" i="359"/>
  <c r="AG221" i="359"/>
  <c r="AG220" i="359"/>
  <c r="AG64" i="359"/>
  <c r="AG21" i="359"/>
  <c r="AG170" i="359"/>
  <c r="L23" i="404"/>
  <c r="AG242" i="359"/>
  <c r="K148" i="502"/>
  <c r="AG239" i="359"/>
  <c r="AG199" i="359"/>
  <c r="AG42" i="359"/>
  <c r="AG41" i="359"/>
  <c r="AG40" i="359"/>
  <c r="AG39" i="359"/>
  <c r="AG38" i="359"/>
  <c r="AG37" i="359"/>
  <c r="AG36" i="359"/>
  <c r="AG35" i="359"/>
  <c r="AG34" i="359"/>
  <c r="AG33" i="359"/>
  <c r="AG32" i="359"/>
  <c r="AG31" i="359"/>
  <c r="AG71" i="359"/>
  <c r="W3" i="375"/>
  <c r="AG290" i="359"/>
  <c r="AG271" i="359"/>
  <c r="AG270" i="359"/>
  <c r="AG269" i="359"/>
  <c r="AG268" i="359"/>
  <c r="AG234" i="359"/>
  <c r="AG186" i="359"/>
  <c r="AG165" i="359"/>
  <c r="AG164" i="359"/>
  <c r="AG48" i="359"/>
  <c r="AG47" i="359"/>
  <c r="AG26" i="359"/>
  <c r="AG295" i="359"/>
  <c r="W6" i="375"/>
  <c r="AG312" i="359"/>
  <c r="AG303" i="359"/>
  <c r="AG207" i="359"/>
  <c r="M19" i="404"/>
  <c r="W11" i="375"/>
  <c r="J9" i="376"/>
  <c r="G10" i="164"/>
  <c r="AG335" i="359"/>
  <c r="AG334" i="359"/>
  <c r="AG333" i="359"/>
  <c r="AG266" i="359"/>
  <c r="AG81" i="359"/>
  <c r="AG80" i="359"/>
  <c r="AG79" i="359"/>
  <c r="AG78" i="359"/>
  <c r="AG77" i="359"/>
  <c r="AG76" i="359"/>
  <c r="AG23" i="359"/>
  <c r="W13" i="375"/>
  <c r="Z299" i="359"/>
  <c r="Z283" i="359"/>
  <c r="D2" i="402"/>
  <c r="W9" i="375"/>
  <c r="AG88" i="359"/>
  <c r="J7" i="376"/>
  <c r="AG302" i="359"/>
  <c r="AG301" i="359"/>
  <c r="AG300" i="359"/>
  <c r="AG298" i="359"/>
  <c r="AG258" i="359"/>
  <c r="AG90" i="359"/>
  <c r="Z291" i="359"/>
  <c r="AG216" i="359"/>
  <c r="AG215" i="359"/>
  <c r="AG128" i="359"/>
  <c r="W5" i="375"/>
  <c r="J4" i="376"/>
  <c r="J8" i="376"/>
  <c r="J12" i="376"/>
  <c r="AG58" i="359"/>
  <c r="AG191" i="359"/>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AG194" i="359"/>
  <c r="AG154" i="359"/>
  <c r="AG153" i="359"/>
  <c r="W4" i="375"/>
  <c r="AG112" i="359"/>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AG226" i="359"/>
  <c r="AG225" i="359"/>
  <c r="AG224" i="359"/>
  <c r="AG178" i="359"/>
  <c r="A10" i="376"/>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A6" i="376"/>
  <c r="K30" i="404"/>
  <c r="Z339" i="359"/>
  <c r="W7" i="375"/>
  <c r="J2" i="376"/>
  <c r="J5" i="376"/>
  <c r="Z311" i="359"/>
  <c r="Z306" i="359"/>
  <c r="Z274" i="359"/>
  <c r="Z210" i="359"/>
  <c r="Z152" i="359"/>
  <c r="Z146" i="359"/>
  <c r="Z98" i="359"/>
  <c r="Z72" i="359"/>
  <c r="Z50" i="359"/>
  <c r="J13" i="376"/>
  <c r="A7" i="376"/>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K25" i="404"/>
  <c r="P22" i="501" s="1"/>
  <c r="G2" i="225"/>
  <c r="AG25" i="359"/>
  <c r="AG24" i="359"/>
  <c r="F9" i="121"/>
  <c r="J11" i="376"/>
  <c r="J15" i="376"/>
  <c r="K26" i="404"/>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K19" i="404"/>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J16" i="376"/>
  <c r="A9" i="376"/>
  <c r="Z307" i="359"/>
  <c r="Z275" i="359"/>
  <c r="A2" i="376"/>
  <c r="E12" i="215"/>
  <c r="B3" i="213" s="1"/>
  <c r="B4" i="213" s="1"/>
  <c r="H6" i="172"/>
  <c r="W2" i="375"/>
  <c r="B30" i="396"/>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C15" i="153" l="1"/>
  <c r="E2" i="222"/>
  <c r="E5" i="222" s="1"/>
  <c r="D26" i="153"/>
  <c r="D6" i="153"/>
  <c r="C24" i="153"/>
  <c r="C18" i="153"/>
  <c r="D17" i="153"/>
  <c r="D29" i="153"/>
  <c r="B4" i="153"/>
  <c r="D5" i="153"/>
  <c r="B18" i="153"/>
  <c r="D19" i="153"/>
  <c r="B24" i="153"/>
  <c r="D25" i="153"/>
  <c r="D20" i="153"/>
  <c r="D23" i="153"/>
  <c r="C27" i="153"/>
  <c r="D14" i="153"/>
  <c r="C33" i="153"/>
  <c r="C4" i="153"/>
  <c r="C12" i="153" s="1"/>
  <c r="D2" i="127"/>
  <c r="D7" i="127" s="1"/>
  <c r="B7" i="127"/>
  <c r="D8" i="153"/>
  <c r="B9" i="153"/>
  <c r="D9" i="153" s="1"/>
  <c r="D10" i="153"/>
  <c r="D11" i="153"/>
  <c r="B33" i="153"/>
  <c r="D3" i="153"/>
  <c r="B15" i="153"/>
  <c r="D16" i="153"/>
  <c r="B8" i="258" s="1"/>
  <c r="D7" i="153"/>
  <c r="B27" i="153"/>
  <c r="D28" i="153"/>
  <c r="B37" i="283"/>
  <c r="B42" i="283" s="1"/>
  <c r="B10" i="389"/>
  <c r="B11" i="389" s="1"/>
  <c r="G4" i="225"/>
  <c r="G5" i="225"/>
  <c r="G3" i="225"/>
  <c r="N23" i="404"/>
  <c r="W20" i="501"/>
  <c r="N28" i="404"/>
  <c r="W25" i="501"/>
  <c r="X25" i="501" s="1"/>
  <c r="A22" i="501"/>
  <c r="A25" i="501"/>
  <c r="P20" i="501"/>
  <c r="P22" i="500"/>
  <c r="A22" i="500" s="1"/>
  <c r="P16" i="500"/>
  <c r="A16" i="500" s="1"/>
  <c r="J15" i="404"/>
  <c r="J31" i="404" s="1"/>
  <c r="E15" i="404"/>
  <c r="E31" i="404" s="1"/>
  <c r="L25" i="404"/>
  <c r="B18" i="399"/>
  <c r="B19" i="399"/>
  <c r="L19" i="404"/>
  <c r="B31" i="396"/>
  <c r="B34" i="396"/>
  <c r="B32" i="396" s="1"/>
  <c r="B18" i="258" s="1"/>
  <c r="C21" i="153" l="1"/>
  <c r="D15" i="153"/>
  <c r="D33" i="153"/>
  <c r="D24" i="153"/>
  <c r="C30" i="153"/>
  <c r="D18" i="153"/>
  <c r="D27" i="153"/>
  <c r="B21" i="153"/>
  <c r="D4" i="153"/>
  <c r="B12" i="153"/>
  <c r="B30" i="153"/>
  <c r="N25" i="404"/>
  <c r="W22" i="501"/>
  <c r="X22" i="501" s="1"/>
  <c r="N19" i="404"/>
  <c r="W16" i="501"/>
  <c r="A20" i="501"/>
  <c r="X20" i="501"/>
  <c r="P16" i="501"/>
  <c r="C15" i="404"/>
  <c r="B20" i="399"/>
  <c r="B21" i="399" s="1"/>
  <c r="B36" i="399" s="1"/>
  <c r="D21" i="153" l="1"/>
  <c r="C228" i="273" s="1"/>
  <c r="C32" i="153"/>
  <c r="D30" i="153"/>
  <c r="C223" i="273" s="1"/>
  <c r="B32" i="153"/>
  <c r="D12" i="153"/>
  <c r="A16" i="501"/>
  <c r="X16" i="501"/>
  <c r="K22" i="404"/>
  <c r="H15" i="404"/>
  <c r="F15" i="404"/>
  <c r="F31" i="404" s="1"/>
  <c r="C31" i="404"/>
  <c r="D32" i="153" l="1"/>
  <c r="H31" i="404"/>
  <c r="K15" i="404"/>
  <c r="K31" i="404" s="1"/>
  <c r="S3" i="359"/>
  <c r="S4" i="359"/>
  <c r="S5" i="359"/>
  <c r="S6" i="359"/>
  <c r="S7" i="359"/>
  <c r="S8" i="359"/>
  <c r="S9" i="359"/>
  <c r="S10" i="359"/>
  <c r="S11" i="359"/>
  <c r="S12" i="359"/>
  <c r="S13" i="359"/>
  <c r="S14" i="359"/>
  <c r="S15" i="359"/>
  <c r="S16" i="359"/>
  <c r="S17" i="359"/>
  <c r="S18" i="359"/>
  <c r="S19" i="359"/>
  <c r="S20" i="359"/>
  <c r="S2" i="359"/>
  <c r="E3" i="55"/>
  <c r="E2" i="55"/>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A26" i="361" s="1"/>
  <c r="H27" i="361"/>
  <c r="A27" i="361" s="1"/>
  <c r="H28" i="361"/>
  <c r="A28" i="361" s="1"/>
  <c r="H29" i="361"/>
  <c r="A29" i="361" s="1"/>
  <c r="H30" i="361"/>
  <c r="A30" i="361" s="1"/>
  <c r="H31" i="361"/>
  <c r="A31" i="361" s="1"/>
  <c r="H32" i="361"/>
  <c r="A32" i="361" s="1"/>
  <c r="H33" i="361"/>
  <c r="A33" i="361" s="1"/>
  <c r="H34" i="361"/>
  <c r="A34" i="361" s="1"/>
  <c r="H35" i="361"/>
  <c r="A35" i="361" s="1"/>
  <c r="AF25" i="361"/>
  <c r="AE25" i="361"/>
  <c r="AD25" i="361"/>
  <c r="AC25" i="361"/>
  <c r="AB25" i="361"/>
  <c r="AA25" i="361"/>
  <c r="AG25" i="361"/>
  <c r="H25" i="361"/>
  <c r="A25" i="361" s="1"/>
  <c r="AF24" i="361"/>
  <c r="AE24" i="361"/>
  <c r="AD24" i="361"/>
  <c r="AC24" i="361"/>
  <c r="AB24" i="361"/>
  <c r="AA24" i="361"/>
  <c r="AG24" i="361"/>
  <c r="H24" i="361"/>
  <c r="A24" i="361" s="1"/>
  <c r="AF23" i="361"/>
  <c r="AE23" i="361"/>
  <c r="AD23" i="361"/>
  <c r="AC23" i="361"/>
  <c r="AB23" i="361"/>
  <c r="AA23" i="361"/>
  <c r="AG23" i="361"/>
  <c r="H23" i="361"/>
  <c r="A23" i="361" s="1"/>
  <c r="AF22" i="361"/>
  <c r="AE22" i="361"/>
  <c r="AD22" i="361"/>
  <c r="AC22" i="361"/>
  <c r="AB22" i="361"/>
  <c r="AA22" i="361"/>
  <c r="AG22" i="361"/>
  <c r="H22" i="361"/>
  <c r="A22" i="361" s="1"/>
  <c r="AF21" i="361"/>
  <c r="AE21" i="361"/>
  <c r="AD21" i="361"/>
  <c r="AC21" i="361"/>
  <c r="AB21" i="361"/>
  <c r="AA21" i="361"/>
  <c r="AG21" i="361"/>
  <c r="H21" i="361"/>
  <c r="A21" i="361" s="1"/>
  <c r="AF20" i="361"/>
  <c r="AE20" i="361"/>
  <c r="AD20" i="361"/>
  <c r="AC20" i="361"/>
  <c r="AB20" i="361"/>
  <c r="AA20" i="361"/>
  <c r="AG20" i="361"/>
  <c r="H20" i="361"/>
  <c r="A20" i="361" s="1"/>
  <c r="AF19" i="361"/>
  <c r="AE19" i="361"/>
  <c r="AD19" i="361"/>
  <c r="AC19" i="361"/>
  <c r="AB19" i="361"/>
  <c r="AA19" i="361"/>
  <c r="AG19" i="361"/>
  <c r="H19" i="361"/>
  <c r="A19" i="361" s="1"/>
  <c r="AF18" i="361"/>
  <c r="AE18" i="361"/>
  <c r="AD18" i="361"/>
  <c r="AC18" i="361"/>
  <c r="AB18" i="361"/>
  <c r="AA18" i="361"/>
  <c r="AG18" i="361"/>
  <c r="H18" i="361"/>
  <c r="A18" i="361" s="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12" i="361" s="1"/>
  <c r="AF11" i="361"/>
  <c r="AE11" i="361"/>
  <c r="AD11" i="361"/>
  <c r="AC11" i="361"/>
  <c r="AB11" i="361"/>
  <c r="AA11" i="361"/>
  <c r="AG11" i="361"/>
  <c r="H11" i="361"/>
  <c r="AF10" i="361"/>
  <c r="AE10" i="361"/>
  <c r="AD10" i="361"/>
  <c r="AC10" i="361"/>
  <c r="AB10" i="361"/>
  <c r="AA10" i="361"/>
  <c r="AG10" i="361"/>
  <c r="H10" i="361"/>
  <c r="AF9" i="361"/>
  <c r="AE9" i="361"/>
  <c r="AD9" i="361"/>
  <c r="AC9" i="361"/>
  <c r="AB9" i="361"/>
  <c r="AA9" i="361"/>
  <c r="AG9" i="361"/>
  <c r="H9" i="361"/>
  <c r="A9" i="361" s="1"/>
  <c r="AF8" i="361"/>
  <c r="AE8" i="361"/>
  <c r="AD8" i="361"/>
  <c r="AC8" i="361"/>
  <c r="AB8" i="361"/>
  <c r="AA8" i="361"/>
  <c r="AG8" i="361"/>
  <c r="H8" i="361"/>
  <c r="A8" i="361" s="1"/>
  <c r="AF7" i="361"/>
  <c r="AE7" i="361"/>
  <c r="AD7" i="361"/>
  <c r="AC7" i="361"/>
  <c r="AB7" i="361"/>
  <c r="AA7" i="361"/>
  <c r="AG7" i="361"/>
  <c r="H7" i="361"/>
  <c r="A7" i="361" s="1"/>
  <c r="AF6" i="361"/>
  <c r="AE6" i="361"/>
  <c r="AD6" i="361"/>
  <c r="AC6" i="361"/>
  <c r="AB6" i="361"/>
  <c r="AA6" i="361"/>
  <c r="AG6" i="361"/>
  <c r="H6" i="361"/>
  <c r="A6" i="361" s="1"/>
  <c r="AF5" i="361"/>
  <c r="AE5" i="361"/>
  <c r="AD5" i="361"/>
  <c r="AC5" i="361"/>
  <c r="AB5" i="361"/>
  <c r="AA5" i="361"/>
  <c r="AG5" i="361"/>
  <c r="H5" i="361"/>
  <c r="A5" i="361" s="1"/>
  <c r="AF4" i="361"/>
  <c r="AE4" i="361"/>
  <c r="AD4" i="361"/>
  <c r="AC4" i="361"/>
  <c r="AB4" i="361"/>
  <c r="AA4" i="361"/>
  <c r="AG4" i="361"/>
  <c r="H4" i="361"/>
  <c r="AF3" i="361"/>
  <c r="AE3" i="361"/>
  <c r="AD3" i="361"/>
  <c r="AC3" i="361"/>
  <c r="AB3" i="361"/>
  <c r="AA3" i="361"/>
  <c r="AG3" i="361"/>
  <c r="H3" i="361"/>
  <c r="A3" i="361" s="1"/>
  <c r="AF2" i="361"/>
  <c r="AE2" i="361"/>
  <c r="AD2" i="361"/>
  <c r="AC2" i="361"/>
  <c r="AB2" i="361"/>
  <c r="AA2" i="361"/>
  <c r="AG2" i="361"/>
  <c r="H2" i="361"/>
  <c r="A2" i="361" s="1"/>
  <c r="Z10" i="361" l="1"/>
  <c r="A10" i="361"/>
  <c r="Z11" i="361"/>
  <c r="A11" i="361"/>
  <c r="Z4" i="361"/>
  <c r="A4" i="361"/>
  <c r="Z7" i="361"/>
  <c r="Z13" i="361"/>
  <c r="Z19" i="361"/>
  <c r="Z21" i="361"/>
  <c r="Z15" i="361"/>
  <c r="Z17" i="361"/>
  <c r="Z23" i="361"/>
  <c r="Z5" i="361"/>
  <c r="Z18" i="361"/>
  <c r="Z20" i="361"/>
  <c r="Z3" i="361"/>
  <c r="Z6" i="361"/>
  <c r="Z22" i="361"/>
  <c r="Z8" i="361"/>
  <c r="Z24" i="361"/>
  <c r="Z9" i="361"/>
  <c r="Z12" i="361"/>
  <c r="Z25" i="361"/>
  <c r="Z14" i="361"/>
  <c r="Z16" i="361"/>
  <c r="Z2" i="361"/>
  <c r="C6" i="93"/>
  <c r="C5" i="93"/>
  <c r="C4" i="93"/>
  <c r="C3" i="93"/>
  <c r="C2" i="93"/>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AG2" i="359"/>
  <c r="H2" i="359"/>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K383" i="502"/>
  <c r="K384" i="502"/>
  <c r="K382" i="502"/>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A2" i="359" l="1"/>
  <c r="B6" i="64"/>
  <c r="B5" i="64"/>
  <c r="B4" i="64"/>
  <c r="B3" i="64"/>
  <c r="B2" i="64"/>
  <c r="K386" i="502"/>
  <c r="A2" i="93"/>
  <c r="C7" i="93"/>
  <c r="D7" i="93" s="1"/>
  <c r="A3" i="93"/>
  <c r="A4" i="93"/>
  <c r="A5" i="93"/>
  <c r="A6" i="93"/>
  <c r="Z11" i="359"/>
  <c r="A11" i="359"/>
  <c r="Z15" i="359"/>
  <c r="A15" i="359"/>
  <c r="Z18" i="359"/>
  <c r="A18" i="359"/>
  <c r="Z19" i="359"/>
  <c r="A19" i="359"/>
  <c r="Z5" i="359"/>
  <c r="A5" i="359"/>
  <c r="Z3" i="359"/>
  <c r="A3" i="359"/>
  <c r="Z6" i="359"/>
  <c r="Z8" i="359"/>
  <c r="Z12" i="359"/>
  <c r="E2" i="54"/>
  <c r="E3" i="54"/>
  <c r="Z2" i="359"/>
  <c r="Z10" i="359"/>
  <c r="Z4" i="359"/>
  <c r="Z7" i="359"/>
  <c r="Z9" i="359"/>
  <c r="Z13" i="359"/>
  <c r="Z17" i="359"/>
  <c r="Z14" i="359"/>
  <c r="AG4" i="359"/>
  <c r="AG12" i="359"/>
  <c r="Z16" i="359"/>
  <c r="Z20" i="359"/>
  <c r="AG8" i="359"/>
  <c r="B7" i="64" l="1"/>
  <c r="F6" i="93"/>
  <c r="B6" i="93"/>
  <c r="D6" i="93"/>
  <c r="F5" i="93"/>
  <c r="B5" i="93"/>
  <c r="D5" i="93"/>
  <c r="F4" i="93"/>
  <c r="B4" i="93"/>
  <c r="D4" i="93"/>
  <c r="B3" i="93"/>
  <c r="D3" i="93"/>
  <c r="F3" i="93"/>
  <c r="D2" i="93"/>
  <c r="F2" i="93"/>
  <c r="B2" i="93"/>
  <c r="A5" i="64"/>
  <c r="D5" i="64" s="1"/>
  <c r="A6" i="64"/>
  <c r="D6" i="64" s="1"/>
  <c r="A2" i="64"/>
  <c r="D2" i="64" s="1"/>
  <c r="A3" i="64"/>
  <c r="D3" i="64" s="1"/>
  <c r="A4" i="64"/>
  <c r="D4" i="64" s="1"/>
  <c r="F7" i="93" l="1"/>
  <c r="D7" i="64"/>
  <c r="D5" i="355"/>
  <c r="D4" i="355" s="1"/>
  <c r="C5" i="355"/>
  <c r="C4" i="355" s="1"/>
  <c r="K147" i="502" l="1"/>
  <c r="K150" i="502" s="1"/>
  <c r="B25" i="283" s="1"/>
  <c r="B178" i="273" s="1"/>
  <c r="K162" i="502"/>
  <c r="C5" i="354"/>
  <c r="C177" i="273" s="1"/>
  <c r="B5" i="354"/>
  <c r="B2" i="262" l="1"/>
  <c r="B11" i="262" s="1"/>
  <c r="B177" i="273"/>
  <c r="K171" i="502"/>
  <c r="B26" i="283" s="1"/>
  <c r="B179" i="273" s="1"/>
  <c r="B12" i="390"/>
  <c r="D12" i="390" s="1"/>
  <c r="B27" i="391" l="1"/>
  <c r="B36" i="391" s="1"/>
  <c r="B41" i="391"/>
  <c r="B47" i="391" s="1"/>
  <c r="B18" i="391"/>
  <c r="B23" i="391" s="1"/>
  <c r="B52" i="288"/>
  <c r="C52" i="288"/>
  <c r="A212" i="288"/>
  <c r="B212" i="288"/>
  <c r="C212" i="288"/>
  <c r="A213" i="288"/>
  <c r="B213" i="288"/>
  <c r="C213" i="288"/>
  <c r="A214" i="288"/>
  <c r="B214" i="288"/>
  <c r="C214" i="288"/>
  <c r="A215" i="288"/>
  <c r="B215" i="288"/>
  <c r="C215" i="288"/>
  <c r="A216" i="288"/>
  <c r="C216" i="288"/>
  <c r="A217" i="288"/>
  <c r="A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C227" i="288"/>
  <c r="A228" i="288"/>
  <c r="A229" i="288"/>
  <c r="A230" i="288"/>
  <c r="B230" i="288"/>
  <c r="C230" i="288"/>
  <c r="A231" i="288"/>
  <c r="B231" i="288"/>
  <c r="C231" i="288"/>
  <c r="A232" i="288"/>
  <c r="C232" i="288"/>
  <c r="A233" i="288"/>
  <c r="C233" i="288"/>
  <c r="A234" i="288"/>
  <c r="B234" i="288"/>
  <c r="C234" i="288"/>
  <c r="A235" i="288"/>
  <c r="B235" i="288"/>
  <c r="C235" i="288"/>
  <c r="A236" i="288"/>
  <c r="A237" i="288"/>
  <c r="B237" i="288"/>
  <c r="C237" i="288"/>
  <c r="A238" i="288"/>
  <c r="B238" i="288"/>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C251" i="288"/>
  <c r="A252" i="288"/>
  <c r="C252" i="288"/>
  <c r="A253" i="288"/>
  <c r="B253" i="288"/>
  <c r="C253" i="288"/>
  <c r="A254" i="288"/>
  <c r="B254" i="288"/>
  <c r="C254" i="288"/>
  <c r="A255" i="288"/>
  <c r="A256" i="288"/>
  <c r="A257" i="288"/>
  <c r="B257" i="288"/>
  <c r="C257" i="288"/>
  <c r="A258" i="288"/>
  <c r="A259" i="288"/>
  <c r="C259" i="288"/>
  <c r="A260" i="288"/>
  <c r="A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A31" i="288"/>
  <c r="A32" i="288"/>
  <c r="A33" i="288"/>
  <c r="A34" i="288"/>
  <c r="A35" i="288"/>
  <c r="A36" i="288"/>
  <c r="A37" i="288"/>
  <c r="A38" i="288"/>
  <c r="A39" i="288"/>
  <c r="A40" i="288"/>
  <c r="A41" i="288"/>
  <c r="A42" i="288"/>
  <c r="A43" i="288"/>
  <c r="A44" i="288"/>
  <c r="A45" i="288"/>
  <c r="A46" i="288"/>
  <c r="B6" i="288"/>
  <c r="C6" i="288"/>
  <c r="A6" i="288"/>
  <c r="D201" i="288"/>
  <c r="E201" i="288" s="1"/>
  <c r="D128" i="288"/>
  <c r="E128" i="288" s="1"/>
  <c r="A3" i="289"/>
  <c r="E3" i="289"/>
  <c r="E2" i="289"/>
  <c r="C3" i="289"/>
  <c r="C2" i="289"/>
  <c r="A2" i="288"/>
  <c r="A1" i="289"/>
  <c r="E28" i="289"/>
  <c r="D210" i="288" l="1"/>
  <c r="E210" i="288" s="1"/>
  <c r="D120" i="288"/>
  <c r="E120" i="288" s="1"/>
  <c r="D198" i="288"/>
  <c r="E198" i="288" s="1"/>
  <c r="D173" i="288"/>
  <c r="E173" i="288" s="1"/>
  <c r="D99" i="288"/>
  <c r="E99" i="288" s="1"/>
  <c r="D118" i="288"/>
  <c r="E118" i="288" s="1"/>
  <c r="D106" i="288"/>
  <c r="E106" i="288" s="1"/>
  <c r="D30" i="288"/>
  <c r="E30" i="288" s="1"/>
  <c r="D73" i="288"/>
  <c r="E73" i="288" s="1"/>
  <c r="D204" i="288"/>
  <c r="E204" i="288" s="1"/>
  <c r="D105" i="288"/>
  <c r="E105" i="288" s="1"/>
  <c r="D207" i="288"/>
  <c r="E207" i="288" s="1"/>
  <c r="D206" i="288"/>
  <c r="E206" i="288" s="1"/>
  <c r="D101" i="288"/>
  <c r="E101" i="288" s="1"/>
  <c r="D83" i="288"/>
  <c r="E83" i="288" s="1"/>
  <c r="D238" i="288"/>
  <c r="E238" i="288" s="1"/>
  <c r="D55" i="288"/>
  <c r="E55" i="288" s="1"/>
  <c r="D170" i="288"/>
  <c r="E170" i="288" s="1"/>
  <c r="D150" i="288"/>
  <c r="E150"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9" i="288"/>
  <c r="E219" i="288" s="1"/>
  <c r="D213" i="288"/>
  <c r="E213" i="288" s="1"/>
  <c r="D246" i="288"/>
  <c r="E246" i="288" s="1"/>
  <c r="D224" i="288"/>
  <c r="E224" i="288" s="1"/>
  <c r="D209" i="288"/>
  <c r="E209" i="288" s="1"/>
  <c r="D254" i="288"/>
  <c r="E254" i="288" s="1"/>
  <c r="D248" i="288"/>
  <c r="E248" i="288" s="1"/>
  <c r="D230" i="288"/>
  <c r="E230" i="288" s="1"/>
  <c r="D226" i="288"/>
  <c r="E226"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D151" i="288"/>
  <c r="E151" i="288" s="1"/>
  <c r="D146" i="288"/>
  <c r="E146" i="288" s="1"/>
  <c r="D114" i="288"/>
  <c r="E114" i="288" s="1"/>
  <c r="D72" i="288"/>
  <c r="E72" i="288" s="1"/>
  <c r="D71" i="288"/>
  <c r="E71" i="288" s="1"/>
  <c r="D103" i="288"/>
  <c r="E103" i="288" s="1"/>
  <c r="D165" i="288"/>
  <c r="E165" i="288" s="1"/>
  <c r="D121" i="288"/>
  <c r="E121" i="288" s="1"/>
  <c r="M17" i="404" l="1"/>
  <c r="B17" i="404"/>
  <c r="U14" i="501" s="1"/>
  <c r="V14" i="501" s="1"/>
  <c r="B9" i="66"/>
  <c r="B5" i="66"/>
  <c r="C5" i="51"/>
  <c r="C2" i="51"/>
  <c r="B4" i="50"/>
  <c r="C32" i="394" l="1"/>
  <c r="P14" i="500"/>
  <c r="A14" i="500" s="1"/>
  <c r="P14" i="501"/>
  <c r="C4" i="55"/>
  <c r="C2" i="55"/>
  <c r="C3" i="55"/>
  <c r="C6" i="77"/>
  <c r="C2" i="77"/>
  <c r="C3" i="77"/>
  <c r="C4" i="77"/>
  <c r="C5" i="77"/>
  <c r="G3" i="77"/>
  <c r="G4" i="77"/>
  <c r="G5" i="77"/>
  <c r="G6" i="77"/>
  <c r="G2" i="77"/>
  <c r="C4" i="54"/>
  <c r="C2" i="54"/>
  <c r="C3" i="54"/>
  <c r="C8" i="51"/>
  <c r="L17" i="404"/>
  <c r="N17" i="404" l="1"/>
  <c r="W14" i="501"/>
  <c r="X14" i="501" s="1"/>
  <c r="A14" i="501"/>
  <c r="C72" i="282"/>
  <c r="C199" i="288" s="1"/>
  <c r="C73" i="282"/>
  <c r="C200" i="288" s="1"/>
  <c r="C175" i="288"/>
  <c r="B73" i="282"/>
  <c r="B200" i="288" s="1"/>
  <c r="B72" i="282"/>
  <c r="B199" i="288" s="1"/>
  <c r="E217" i="266"/>
  <c r="B175" i="288"/>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F18" i="287"/>
  <c r="F17" i="287" s="1"/>
  <c r="E18" i="287"/>
  <c r="E17" i="287" s="1"/>
  <c r="D18" i="287"/>
  <c r="D17" i="287" s="1"/>
  <c r="C18" i="287"/>
  <c r="C17" i="287" s="1"/>
  <c r="B18" i="287"/>
  <c r="B17" i="287" s="1"/>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C50" i="283"/>
  <c r="C250" i="288" s="1"/>
  <c r="B250" i="288"/>
  <c r="C42" i="283"/>
  <c r="C242" i="288" s="1"/>
  <c r="B242" i="288"/>
  <c r="C36" i="283"/>
  <c r="C236" i="288" s="1"/>
  <c r="C28" i="283"/>
  <c r="C228" i="288" s="1"/>
  <c r="C17" i="283"/>
  <c r="C217" i="288" s="1"/>
  <c r="G7" i="287" l="1"/>
  <c r="E7" i="287"/>
  <c r="D7" i="287"/>
  <c r="K7" i="287"/>
  <c r="C7" i="287"/>
  <c r="F7" i="287"/>
  <c r="G7" i="286"/>
  <c r="F7" i="286"/>
  <c r="I7" i="287"/>
  <c r="C29" i="283"/>
  <c r="C229" i="288" s="1"/>
  <c r="M27" i="287"/>
  <c r="O27" i="287" s="1"/>
  <c r="M27" i="286"/>
  <c r="O27" i="286" s="1"/>
  <c r="D242" i="288"/>
  <c r="E242" i="288" s="1"/>
  <c r="C56" i="283"/>
  <c r="E7" i="286"/>
  <c r="D200" i="288"/>
  <c r="E200" i="288" s="1"/>
  <c r="C43" i="283"/>
  <c r="C243" i="288" s="1"/>
  <c r="M9" i="287"/>
  <c r="O9" i="287" s="1"/>
  <c r="M14" i="287"/>
  <c r="O14" i="287" s="1"/>
  <c r="D250" i="288"/>
  <c r="E250" i="288" s="1"/>
  <c r="B7" i="287"/>
  <c r="D175" i="288"/>
  <c r="E175" i="288" s="1"/>
  <c r="D199" i="288"/>
  <c r="E199" i="288" s="1"/>
  <c r="I7" i="286"/>
  <c r="D7" i="286"/>
  <c r="K7" i="286"/>
  <c r="C7" i="286"/>
  <c r="M14" i="286"/>
  <c r="O14" i="286" s="1"/>
  <c r="M9" i="286"/>
  <c r="O9" i="286" s="1"/>
  <c r="B7" i="286"/>
  <c r="I1" i="269"/>
  <c r="G254" i="268"/>
  <c r="F254" i="268"/>
  <c r="G253" i="268"/>
  <c r="F253" i="268"/>
  <c r="G252" i="268"/>
  <c r="F252" i="268"/>
  <c r="G251" i="268"/>
  <c r="F251" i="268"/>
  <c r="G249" i="268"/>
  <c r="F249" i="268"/>
  <c r="G248" i="268"/>
  <c r="F248" i="268"/>
  <c r="G247" i="268"/>
  <c r="F247" i="268"/>
  <c r="G246" i="268"/>
  <c r="F246" i="268"/>
  <c r="G245" i="268"/>
  <c r="F245" i="268"/>
  <c r="G244" i="268"/>
  <c r="F244" i="268"/>
  <c r="G242" i="268"/>
  <c r="F242" i="268"/>
  <c r="G241" i="268"/>
  <c r="F241" i="268"/>
  <c r="G240" i="268"/>
  <c r="F240" i="268"/>
  <c r="E236" i="268"/>
  <c r="E234" i="432" s="1"/>
  <c r="H233" i="268"/>
  <c r="C67" i="282" s="1"/>
  <c r="H232" i="268"/>
  <c r="H231" i="268"/>
  <c r="H230" i="268"/>
  <c r="H229" i="268"/>
  <c r="H228" i="268"/>
  <c r="H227" i="268"/>
  <c r="H226" i="268"/>
  <c r="H225" i="268"/>
  <c r="H224" i="268"/>
  <c r="C58" i="282" s="1"/>
  <c r="G223" i="268"/>
  <c r="F223" i="268"/>
  <c r="E223" i="268"/>
  <c r="E221" i="432" s="1"/>
  <c r="H222" i="268"/>
  <c r="H221" i="268"/>
  <c r="H220" i="268"/>
  <c r="H219" i="268"/>
  <c r="H218" i="268"/>
  <c r="C52" i="282" s="1"/>
  <c r="G217" i="268"/>
  <c r="G216" i="268" s="1"/>
  <c r="G215" i="268" s="1"/>
  <c r="F217" i="268"/>
  <c r="F216" i="268" s="1"/>
  <c r="E217" i="268"/>
  <c r="G213" i="268"/>
  <c r="F213" i="268"/>
  <c r="G207" i="268"/>
  <c r="F207" i="268"/>
  <c r="G205" i="268"/>
  <c r="F205" i="268"/>
  <c r="G204" i="268"/>
  <c r="F204" i="268"/>
  <c r="G202" i="268"/>
  <c r="F202" i="268"/>
  <c r="G201" i="268"/>
  <c r="F201" i="268"/>
  <c r="G200" i="268"/>
  <c r="F200" i="268"/>
  <c r="G199" i="268"/>
  <c r="F199" i="268"/>
  <c r="G198" i="268"/>
  <c r="F198" i="268"/>
  <c r="G197" i="268"/>
  <c r="F197" i="268"/>
  <c r="H196" i="268"/>
  <c r="H195" i="268"/>
  <c r="G194" i="268"/>
  <c r="F194" i="268"/>
  <c r="G193" i="268"/>
  <c r="F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6" i="268"/>
  <c r="F176" i="268"/>
  <c r="G175" i="268"/>
  <c r="F175" i="268"/>
  <c r="G174" i="268"/>
  <c r="F174" i="268"/>
  <c r="G173" i="268"/>
  <c r="F173" i="268"/>
  <c r="G172" i="268"/>
  <c r="F172" i="268"/>
  <c r="G167" i="268"/>
  <c r="F167" i="268"/>
  <c r="G165" i="268"/>
  <c r="F165" i="268"/>
  <c r="G164" i="268"/>
  <c r="F164" i="268"/>
  <c r="G163" i="268"/>
  <c r="F163" i="268"/>
  <c r="G162" i="268"/>
  <c r="F162" i="268"/>
  <c r="G161" i="268"/>
  <c r="F161" i="268"/>
  <c r="G160" i="268"/>
  <c r="F160" i="268"/>
  <c r="G159" i="268"/>
  <c r="F159" i="268"/>
  <c r="G158" i="268"/>
  <c r="F158" i="268"/>
  <c r="G157" i="268"/>
  <c r="F157" i="268"/>
  <c r="G156" i="268"/>
  <c r="F156" i="268"/>
  <c r="G155" i="268"/>
  <c r="F155" i="268"/>
  <c r="G151" i="268"/>
  <c r="F151" i="268"/>
  <c r="G150" i="268"/>
  <c r="F150" i="268"/>
  <c r="G149" i="268"/>
  <c r="F149" i="268"/>
  <c r="G148" i="268"/>
  <c r="F148" i="268"/>
  <c r="G147" i="268"/>
  <c r="F147" i="268"/>
  <c r="G145" i="268"/>
  <c r="F145" i="268"/>
  <c r="G144" i="268"/>
  <c r="F144" i="268"/>
  <c r="G143" i="268"/>
  <c r="F143" i="268"/>
  <c r="G142" i="268"/>
  <c r="F142" i="268"/>
  <c r="G141" i="268"/>
  <c r="F141" i="268"/>
  <c r="G140" i="268"/>
  <c r="F140" i="268"/>
  <c r="G139" i="268"/>
  <c r="F139" i="268"/>
  <c r="G138" i="268"/>
  <c r="F138" i="268"/>
  <c r="G137" i="268"/>
  <c r="F137" i="268"/>
  <c r="G134" i="268"/>
  <c r="F134" i="268"/>
  <c r="G133" i="268"/>
  <c r="F133"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6" i="268"/>
  <c r="F106" i="268"/>
  <c r="G105" i="268"/>
  <c r="F105" i="268"/>
  <c r="G104" i="268"/>
  <c r="F104" i="268"/>
  <c r="G102" i="268"/>
  <c r="F102" i="268"/>
  <c r="G101" i="268"/>
  <c r="F101" i="268"/>
  <c r="G100" i="268"/>
  <c r="F100" i="268"/>
  <c r="G98" i="268"/>
  <c r="F98" i="268"/>
  <c r="G97" i="268"/>
  <c r="F97" i="268"/>
  <c r="G96" i="268"/>
  <c r="F96" i="268"/>
  <c r="G94" i="268"/>
  <c r="F94" i="268"/>
  <c r="G93" i="268"/>
  <c r="F93" i="268"/>
  <c r="G92" i="268"/>
  <c r="F92" i="268"/>
  <c r="G91" i="268"/>
  <c r="F91" i="268"/>
  <c r="G90" i="268"/>
  <c r="F90" i="268"/>
  <c r="G89" i="268"/>
  <c r="F89" i="268"/>
  <c r="G88" i="268"/>
  <c r="F88"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4" i="266"/>
  <c r="F254" i="266"/>
  <c r="G253" i="266"/>
  <c r="F253" i="266"/>
  <c r="G252" i="266"/>
  <c r="F252" i="266"/>
  <c r="G251" i="266"/>
  <c r="F251" i="266"/>
  <c r="G249" i="266"/>
  <c r="F249" i="266"/>
  <c r="G248" i="266"/>
  <c r="F248" i="266"/>
  <c r="G247" i="266"/>
  <c r="F247" i="266"/>
  <c r="G246" i="266"/>
  <c r="F246" i="266"/>
  <c r="G245" i="266"/>
  <c r="F245" i="266"/>
  <c r="G244" i="266"/>
  <c r="F244" i="266"/>
  <c r="G242" i="266"/>
  <c r="F242" i="266"/>
  <c r="G241" i="266"/>
  <c r="F241" i="266"/>
  <c r="G240" i="266"/>
  <c r="F240" i="266"/>
  <c r="E236" i="266"/>
  <c r="H233" i="266"/>
  <c r="B67" i="282" s="1"/>
  <c r="H232" i="266"/>
  <c r="B66" i="282" s="1"/>
  <c r="H231" i="266"/>
  <c r="B65" i="282" s="1"/>
  <c r="H230" i="266"/>
  <c r="B64" i="282" s="1"/>
  <c r="H229" i="266"/>
  <c r="B63" i="282" s="1"/>
  <c r="H228" i="266"/>
  <c r="B62" i="282" s="1"/>
  <c r="H227" i="266"/>
  <c r="B61" i="282" s="1"/>
  <c r="H226" i="266"/>
  <c r="B60" i="282" s="1"/>
  <c r="H225" i="266"/>
  <c r="B59" i="282" s="1"/>
  <c r="H224" i="266"/>
  <c r="G223" i="266"/>
  <c r="F223" i="266"/>
  <c r="E223" i="266"/>
  <c r="H222" i="266"/>
  <c r="B56" i="282" s="1"/>
  <c r="H221" i="266"/>
  <c r="B55" i="282" s="1"/>
  <c r="H220" i="266"/>
  <c r="B54" i="282" s="1"/>
  <c r="H219" i="266"/>
  <c r="B53" i="282" s="1"/>
  <c r="H218" i="266"/>
  <c r="G217" i="266"/>
  <c r="G216" i="266" s="1"/>
  <c r="F217" i="266"/>
  <c r="F216" i="266" s="1"/>
  <c r="E216" i="266"/>
  <c r="E215" i="266" s="1"/>
  <c r="G213" i="266"/>
  <c r="F213" i="266"/>
  <c r="G207" i="266"/>
  <c r="F207" i="266"/>
  <c r="G205" i="266"/>
  <c r="F205" i="266"/>
  <c r="G204" i="266"/>
  <c r="F204" i="266"/>
  <c r="G202" i="266"/>
  <c r="F202" i="266"/>
  <c r="G201" i="266"/>
  <c r="F201" i="266"/>
  <c r="G200" i="266"/>
  <c r="F200" i="266"/>
  <c r="G199" i="266"/>
  <c r="F199" i="266"/>
  <c r="G198" i="266"/>
  <c r="F198" i="266"/>
  <c r="G197" i="266"/>
  <c r="F197" i="266"/>
  <c r="H196" i="266"/>
  <c r="H194" i="432" s="1"/>
  <c r="H195" i="266"/>
  <c r="H193" i="432" s="1"/>
  <c r="G194" i="266"/>
  <c r="F194" i="266"/>
  <c r="G193" i="266"/>
  <c r="F193" i="266"/>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6" i="266"/>
  <c r="F176" i="266"/>
  <c r="G175" i="266"/>
  <c r="F175" i="266"/>
  <c r="G174" i="266"/>
  <c r="F174" i="266"/>
  <c r="G173" i="266"/>
  <c r="F173" i="266"/>
  <c r="G172" i="266"/>
  <c r="F172" i="266"/>
  <c r="G167" i="266"/>
  <c r="F167" i="266"/>
  <c r="G165" i="266"/>
  <c r="F165" i="266"/>
  <c r="G164" i="266"/>
  <c r="F164" i="266"/>
  <c r="G163" i="266"/>
  <c r="F163" i="266"/>
  <c r="G162" i="266"/>
  <c r="F162" i="266"/>
  <c r="G161" i="266"/>
  <c r="F161" i="266"/>
  <c r="G160" i="266"/>
  <c r="F160" i="266"/>
  <c r="G159" i="266"/>
  <c r="F159" i="266"/>
  <c r="G158" i="266"/>
  <c r="F158" i="266"/>
  <c r="G157" i="266"/>
  <c r="F157" i="266"/>
  <c r="G156" i="266"/>
  <c r="F156" i="266"/>
  <c r="G155" i="266"/>
  <c r="F155" i="266"/>
  <c r="G151" i="266"/>
  <c r="F151" i="266"/>
  <c r="G150" i="266"/>
  <c r="F150" i="266"/>
  <c r="G149" i="266"/>
  <c r="F149" i="266"/>
  <c r="G148" i="266"/>
  <c r="F148" i="266"/>
  <c r="G147" i="266"/>
  <c r="F147" i="266"/>
  <c r="G145" i="266"/>
  <c r="F145" i="266"/>
  <c r="G144" i="266"/>
  <c r="F144" i="266"/>
  <c r="G143" i="266"/>
  <c r="F143" i="266"/>
  <c r="G142" i="266"/>
  <c r="F142" i="266"/>
  <c r="G141" i="266"/>
  <c r="F141" i="266"/>
  <c r="G140" i="266"/>
  <c r="F140" i="266"/>
  <c r="G139" i="266"/>
  <c r="F139" i="266"/>
  <c r="G138" i="266"/>
  <c r="F138" i="266"/>
  <c r="G137" i="266"/>
  <c r="F137" i="266"/>
  <c r="G134" i="266"/>
  <c r="F134" i="266"/>
  <c r="G133" i="266"/>
  <c r="F133"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6" i="266"/>
  <c r="F106" i="266"/>
  <c r="G105" i="266"/>
  <c r="F105" i="266"/>
  <c r="G104" i="266"/>
  <c r="F104" i="266"/>
  <c r="G102" i="266"/>
  <c r="F102" i="266"/>
  <c r="G101" i="266"/>
  <c r="F101" i="266"/>
  <c r="G100" i="266"/>
  <c r="F100" i="266"/>
  <c r="G98" i="266"/>
  <c r="F98" i="266"/>
  <c r="G97" i="266"/>
  <c r="F97" i="266"/>
  <c r="G96" i="266"/>
  <c r="F96" i="266"/>
  <c r="G94" i="266"/>
  <c r="F94" i="266"/>
  <c r="G93" i="266"/>
  <c r="F93" i="266"/>
  <c r="G92" i="266"/>
  <c r="F92" i="266"/>
  <c r="G91" i="266"/>
  <c r="F91" i="266"/>
  <c r="G90" i="266"/>
  <c r="F90" i="266"/>
  <c r="G89" i="266"/>
  <c r="F89"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E207" i="266" l="1"/>
  <c r="E186" i="266"/>
  <c r="E205" i="266"/>
  <c r="E180" i="266"/>
  <c r="E188" i="266"/>
  <c r="E191" i="266"/>
  <c r="E179" i="266"/>
  <c r="E181" i="266"/>
  <c r="E189" i="266"/>
  <c r="E187" i="266"/>
  <c r="E182" i="266"/>
  <c r="E190" i="266"/>
  <c r="E183" i="266"/>
  <c r="E184" i="266"/>
  <c r="E192" i="266"/>
  <c r="E185" i="266"/>
  <c r="H86" i="268"/>
  <c r="C56" i="282"/>
  <c r="C183" i="288" s="1"/>
  <c r="C62" i="282"/>
  <c r="C189" i="288" s="1"/>
  <c r="C63" i="282"/>
  <c r="C190" i="288" s="1"/>
  <c r="C64" i="282"/>
  <c r="C191" i="288" s="1"/>
  <c r="C65" i="282"/>
  <c r="C192" i="288" s="1"/>
  <c r="C66" i="282"/>
  <c r="C193" i="288" s="1"/>
  <c r="C53" i="282"/>
  <c r="C180" i="288" s="1"/>
  <c r="C59" i="282"/>
  <c r="C186" i="288" s="1"/>
  <c r="C54" i="282"/>
  <c r="C181" i="288" s="1"/>
  <c r="C60" i="282"/>
  <c r="C187" i="288" s="1"/>
  <c r="H216" i="432"/>
  <c r="B52" i="282"/>
  <c r="H222" i="432"/>
  <c r="B58" i="282"/>
  <c r="C55" i="282"/>
  <c r="C182" i="288" s="1"/>
  <c r="C61" i="282"/>
  <c r="C188" i="288" s="1"/>
  <c r="E216" i="268"/>
  <c r="E215" i="432"/>
  <c r="L86" i="266"/>
  <c r="E86" i="266" s="1"/>
  <c r="L88" i="266"/>
  <c r="E200" i="266"/>
  <c r="L87" i="266"/>
  <c r="E87" i="266" s="1"/>
  <c r="H87" i="266" s="1"/>
  <c r="E199" i="266"/>
  <c r="H185" i="266"/>
  <c r="B13" i="282" s="1"/>
  <c r="E174" i="266"/>
  <c r="E198" i="266"/>
  <c r="H198" i="266" s="1"/>
  <c r="B32" i="282" s="1"/>
  <c r="H191" i="266"/>
  <c r="E175" i="266"/>
  <c r="E176" i="266"/>
  <c r="E197" i="266"/>
  <c r="H197" i="266" s="1"/>
  <c r="B31" i="282" s="1"/>
  <c r="H183" i="266"/>
  <c r="B11" i="282" s="1"/>
  <c r="H176" i="268"/>
  <c r="F171" i="268"/>
  <c r="B180" i="288"/>
  <c r="H217" i="432"/>
  <c r="B186" i="288"/>
  <c r="H223" i="432"/>
  <c r="B194" i="288"/>
  <c r="H231" i="432"/>
  <c r="B181" i="288"/>
  <c r="H218" i="432"/>
  <c r="B187" i="288"/>
  <c r="H224" i="432"/>
  <c r="B182" i="288"/>
  <c r="H219" i="432"/>
  <c r="B188" i="288"/>
  <c r="H225" i="432"/>
  <c r="B183" i="288"/>
  <c r="H220" i="432"/>
  <c r="B189" i="288"/>
  <c r="H226" i="432"/>
  <c r="B190" i="288"/>
  <c r="H227" i="432"/>
  <c r="L159" i="432"/>
  <c r="L148" i="432"/>
  <c r="L142" i="432"/>
  <c r="L128" i="432"/>
  <c r="L123" i="432"/>
  <c r="L114" i="432"/>
  <c r="L106" i="432"/>
  <c r="L102" i="432"/>
  <c r="L96" i="432"/>
  <c r="L88" i="432"/>
  <c r="L80" i="432"/>
  <c r="L77" i="432"/>
  <c r="L75" i="432"/>
  <c r="L72" i="432"/>
  <c r="L66" i="432"/>
  <c r="L58" i="432"/>
  <c r="L54" i="432"/>
  <c r="L40" i="432"/>
  <c r="L35" i="432"/>
  <c r="L32" i="432"/>
  <c r="L12" i="432"/>
  <c r="L161" i="432"/>
  <c r="L152" i="432"/>
  <c r="L139" i="432"/>
  <c r="L134" i="432"/>
  <c r="L130" i="432"/>
  <c r="L116" i="432"/>
  <c r="L109" i="432"/>
  <c r="L105" i="432"/>
  <c r="L99" i="432"/>
  <c r="L93" i="432"/>
  <c r="L85" i="432"/>
  <c r="L82" i="432"/>
  <c r="L68" i="432"/>
  <c r="L57" i="432"/>
  <c r="L47" i="432"/>
  <c r="L37" i="432"/>
  <c r="L29" i="432"/>
  <c r="L26" i="432"/>
  <c r="L21" i="432"/>
  <c r="L15" i="432"/>
  <c r="L7" i="432"/>
  <c r="L4" i="432"/>
  <c r="L164" i="432"/>
  <c r="L154" i="432"/>
  <c r="L151" i="432"/>
  <c r="L133" i="432"/>
  <c r="L125" i="432"/>
  <c r="L118" i="432"/>
  <c r="L111" i="432"/>
  <c r="L104" i="432"/>
  <c r="L90" i="432"/>
  <c r="L79" i="432"/>
  <c r="L56" i="432"/>
  <c r="L50" i="432"/>
  <c r="L42" i="432"/>
  <c r="L23" i="432"/>
  <c r="L18" i="432"/>
  <c r="L9" i="432"/>
  <c r="L163" i="432"/>
  <c r="L158" i="432"/>
  <c r="L156" i="432"/>
  <c r="L150" i="432"/>
  <c r="L145" i="432"/>
  <c r="L141" i="432"/>
  <c r="L136" i="432"/>
  <c r="L132" i="432"/>
  <c r="L127" i="432"/>
  <c r="L120" i="432"/>
  <c r="L113" i="432"/>
  <c r="L101" i="432"/>
  <c r="L95" i="432"/>
  <c r="L92" i="432"/>
  <c r="L87" i="432"/>
  <c r="L74" i="432"/>
  <c r="L60" i="432"/>
  <c r="L53" i="432"/>
  <c r="L49" i="432"/>
  <c r="L44" i="432"/>
  <c r="L39" i="432"/>
  <c r="L31" i="432"/>
  <c r="L11" i="432"/>
  <c r="L149" i="432"/>
  <c r="L147" i="432"/>
  <c r="L138" i="432"/>
  <c r="L129" i="432"/>
  <c r="L122" i="432"/>
  <c r="L115" i="432"/>
  <c r="L108" i="432"/>
  <c r="L98" i="432"/>
  <c r="L76" i="432"/>
  <c r="L67" i="432"/>
  <c r="L52" i="432"/>
  <c r="L46" i="432"/>
  <c r="L34" i="432"/>
  <c r="L25" i="432"/>
  <c r="L20" i="432"/>
  <c r="L14" i="432"/>
  <c r="L6" i="432"/>
  <c r="L22" i="432"/>
  <c r="L17" i="432"/>
  <c r="L13" i="432"/>
  <c r="L160" i="432"/>
  <c r="L153" i="432"/>
  <c r="L124" i="432"/>
  <c r="L110" i="432"/>
  <c r="L103" i="432"/>
  <c r="L100" i="432"/>
  <c r="L89" i="432"/>
  <c r="L84" i="432"/>
  <c r="L81" i="432"/>
  <c r="L78" i="432"/>
  <c r="L73" i="432"/>
  <c r="L63" i="432"/>
  <c r="L59" i="432"/>
  <c r="L55" i="432"/>
  <c r="L41" i="432"/>
  <c r="L36" i="432"/>
  <c r="L33" i="432"/>
  <c r="L165" i="432"/>
  <c r="L162" i="432"/>
  <c r="L155" i="432"/>
  <c r="L140" i="432"/>
  <c r="L135" i="432"/>
  <c r="L131" i="432"/>
  <c r="L126" i="432"/>
  <c r="L117" i="432"/>
  <c r="L94" i="432"/>
  <c r="L86" i="432"/>
  <c r="L83" i="432"/>
  <c r="L48" i="432"/>
  <c r="L43" i="432"/>
  <c r="L38" i="432"/>
  <c r="L30" i="432"/>
  <c r="L27" i="432"/>
  <c r="L16" i="432"/>
  <c r="L8" i="432"/>
  <c r="L157" i="432"/>
  <c r="L146" i="432"/>
  <c r="L137" i="432"/>
  <c r="L121" i="432"/>
  <c r="L119" i="432"/>
  <c r="L112" i="432"/>
  <c r="L107" i="432"/>
  <c r="L97" i="432"/>
  <c r="L91" i="432"/>
  <c r="L51" i="432"/>
  <c r="L45" i="432"/>
  <c r="L24" i="432"/>
  <c r="L19" i="432"/>
  <c r="L10" i="432"/>
  <c r="L5" i="432"/>
  <c r="B191" i="288"/>
  <c r="H228" i="432"/>
  <c r="B192" i="288"/>
  <c r="H229" i="432"/>
  <c r="B193" i="288"/>
  <c r="H230" i="432"/>
  <c r="H162" i="266"/>
  <c r="B63" i="281" s="1"/>
  <c r="H241" i="266"/>
  <c r="H239" i="432" s="1"/>
  <c r="F74" i="266"/>
  <c r="H253" i="266"/>
  <c r="H186" i="266"/>
  <c r="B14" i="282" s="1"/>
  <c r="H199" i="266"/>
  <c r="B33" i="282" s="1"/>
  <c r="H248" i="268"/>
  <c r="H253" i="268"/>
  <c r="H142" i="268"/>
  <c r="C37" i="281" s="1"/>
  <c r="C98" i="273" s="1"/>
  <c r="H167" i="268"/>
  <c r="H185" i="268"/>
  <c r="H198" i="268"/>
  <c r="H157" i="266"/>
  <c r="B57" i="281" s="1"/>
  <c r="H217" i="266"/>
  <c r="H223" i="266"/>
  <c r="L8" i="268"/>
  <c r="L13" i="268"/>
  <c r="L16" i="268"/>
  <c r="L22" i="268"/>
  <c r="L41" i="268"/>
  <c r="L49" i="268"/>
  <c r="L53" i="268"/>
  <c r="L60" i="268"/>
  <c r="L73" i="268"/>
  <c r="L79" i="268"/>
  <c r="L98" i="268"/>
  <c r="L112" i="268"/>
  <c r="L120" i="268"/>
  <c r="L128" i="268"/>
  <c r="L140" i="268"/>
  <c r="L149" i="268"/>
  <c r="L153" i="268"/>
  <c r="L156" i="268"/>
  <c r="L164" i="268"/>
  <c r="L6" i="268"/>
  <c r="L11" i="268"/>
  <c r="L14" i="268"/>
  <c r="L17" i="268"/>
  <c r="L25" i="268"/>
  <c r="L30" i="268"/>
  <c r="L36" i="268"/>
  <c r="L44" i="268"/>
  <c r="L50" i="268"/>
  <c r="L67" i="268"/>
  <c r="L74" i="268"/>
  <c r="L80" i="268"/>
  <c r="L90" i="268"/>
  <c r="L99" i="268"/>
  <c r="L105" i="268"/>
  <c r="L115" i="268"/>
  <c r="L123" i="268"/>
  <c r="L131" i="268"/>
  <c r="L143" i="268"/>
  <c r="L154" i="268"/>
  <c r="L159" i="268"/>
  <c r="C256" i="288"/>
  <c r="C58" i="283"/>
  <c r="L20" i="268"/>
  <c r="L33" i="268"/>
  <c r="L39" i="268"/>
  <c r="L47" i="268"/>
  <c r="L56" i="268"/>
  <c r="L77" i="268"/>
  <c r="L83" i="268"/>
  <c r="L88" i="268"/>
  <c r="L93" i="268"/>
  <c r="L96" i="268"/>
  <c r="L102" i="268"/>
  <c r="L110" i="268"/>
  <c r="L118" i="268"/>
  <c r="L126" i="268"/>
  <c r="L134" i="268"/>
  <c r="L138" i="268"/>
  <c r="L147" i="268"/>
  <c r="L162" i="268"/>
  <c r="H252" i="268"/>
  <c r="L4" i="268"/>
  <c r="L9" i="268"/>
  <c r="L23" i="268"/>
  <c r="L34" i="268"/>
  <c r="L42" i="268"/>
  <c r="L54" i="268"/>
  <c r="L57" i="268"/>
  <c r="L84" i="268"/>
  <c r="L103" i="268"/>
  <c r="L113" i="268"/>
  <c r="L121" i="268"/>
  <c r="L129" i="268"/>
  <c r="L135" i="268"/>
  <c r="L141" i="268"/>
  <c r="L150" i="268"/>
  <c r="L157" i="268"/>
  <c r="L165" i="268"/>
  <c r="F53" i="266"/>
  <c r="L18" i="268"/>
  <c r="L31" i="268"/>
  <c r="L37" i="268"/>
  <c r="L45" i="268"/>
  <c r="L51" i="268"/>
  <c r="L58" i="268"/>
  <c r="L68" i="268"/>
  <c r="L75" i="268"/>
  <c r="L81" i="268"/>
  <c r="L91" i="268"/>
  <c r="L100" i="268"/>
  <c r="L106" i="268"/>
  <c r="L116" i="268"/>
  <c r="L124" i="268"/>
  <c r="L132" i="268"/>
  <c r="L136" i="268"/>
  <c r="L144" i="268"/>
  <c r="L160" i="268"/>
  <c r="L166" i="268"/>
  <c r="L26" i="268"/>
  <c r="E26" i="432" s="1"/>
  <c r="L27" i="268"/>
  <c r="L26" i="266"/>
  <c r="E26" i="266" s="1"/>
  <c r="L27" i="266"/>
  <c r="E27" i="266" s="1"/>
  <c r="H27" i="266" s="1"/>
  <c r="L7" i="268"/>
  <c r="L12" i="268"/>
  <c r="L15" i="268"/>
  <c r="L21" i="268"/>
  <c r="L40" i="268"/>
  <c r="L48" i="268"/>
  <c r="L72" i="268"/>
  <c r="E72" i="432" s="1"/>
  <c r="L78" i="268"/>
  <c r="L97" i="268"/>
  <c r="E95" i="432" s="1"/>
  <c r="L107" i="268"/>
  <c r="L111" i="268"/>
  <c r="L119" i="268"/>
  <c r="L127" i="268"/>
  <c r="L139" i="268"/>
  <c r="L148" i="268"/>
  <c r="L155" i="268"/>
  <c r="L163" i="268"/>
  <c r="G235" i="268"/>
  <c r="E240" i="266"/>
  <c r="L5" i="268"/>
  <c r="L10" i="268"/>
  <c r="L24" i="268"/>
  <c r="E24" i="432" s="1"/>
  <c r="L29" i="268"/>
  <c r="L35" i="268"/>
  <c r="L43" i="268"/>
  <c r="L66" i="268"/>
  <c r="L85" i="268"/>
  <c r="L89" i="268"/>
  <c r="L94" i="268"/>
  <c r="L104" i="268"/>
  <c r="L108" i="268"/>
  <c r="L114" i="268"/>
  <c r="L122" i="268"/>
  <c r="L130" i="268"/>
  <c r="L142" i="268"/>
  <c r="L151" i="268"/>
  <c r="L158" i="268"/>
  <c r="H174" i="268"/>
  <c r="L19" i="268"/>
  <c r="L32" i="268"/>
  <c r="L38" i="268"/>
  <c r="L46" i="268"/>
  <c r="L52" i="268"/>
  <c r="L55" i="268"/>
  <c r="L59" i="268"/>
  <c r="L63" i="268"/>
  <c r="G74" i="268"/>
  <c r="L76" i="268"/>
  <c r="L82" i="268"/>
  <c r="E82" i="432" s="1"/>
  <c r="L92" i="268"/>
  <c r="L95" i="268"/>
  <c r="L101" i="268"/>
  <c r="L109" i="268"/>
  <c r="L117" i="268"/>
  <c r="L125" i="268"/>
  <c r="L133" i="268"/>
  <c r="L137" i="268"/>
  <c r="L152" i="268"/>
  <c r="L161" i="268"/>
  <c r="L167" i="268"/>
  <c r="E178" i="432"/>
  <c r="H160" i="266"/>
  <c r="B60" i="281" s="1"/>
  <c r="H164" i="266"/>
  <c r="B70" i="281" s="1"/>
  <c r="H174" i="266"/>
  <c r="B4" i="282" s="1"/>
  <c r="H142" i="266"/>
  <c r="B37" i="281" s="1"/>
  <c r="B98" i="273" s="1"/>
  <c r="H167" i="266"/>
  <c r="B73" i="281" s="1"/>
  <c r="H181" i="266"/>
  <c r="B9" i="282" s="1"/>
  <c r="H189" i="266"/>
  <c r="H202" i="266"/>
  <c r="B30" i="282" s="1"/>
  <c r="H245" i="266"/>
  <c r="H243" i="432" s="1"/>
  <c r="F17" i="266"/>
  <c r="G171" i="266"/>
  <c r="G170" i="266" s="1"/>
  <c r="F235" i="266"/>
  <c r="H241" i="268"/>
  <c r="G178" i="268"/>
  <c r="G177" i="268" s="1"/>
  <c r="F103" i="268"/>
  <c r="H182" i="268"/>
  <c r="H197" i="268"/>
  <c r="F53" i="268"/>
  <c r="H183" i="268"/>
  <c r="G84" i="268"/>
  <c r="H181" i="268"/>
  <c r="H244" i="268"/>
  <c r="H199" i="268"/>
  <c r="C33" i="282" s="1"/>
  <c r="H202" i="268"/>
  <c r="H245" i="268"/>
  <c r="F135" i="268"/>
  <c r="F178" i="268"/>
  <c r="F177" i="268" s="1"/>
  <c r="H217" i="268"/>
  <c r="H223" i="268"/>
  <c r="F80" i="268"/>
  <c r="F84" i="268"/>
  <c r="G135" i="268"/>
  <c r="H186" i="268"/>
  <c r="H157" i="268"/>
  <c r="H175" i="268"/>
  <c r="C194" i="288"/>
  <c r="C185" i="288"/>
  <c r="F14" i="268"/>
  <c r="F17" i="268"/>
  <c r="H160" i="268"/>
  <c r="G171" i="268"/>
  <c r="G170" i="268" s="1"/>
  <c r="G14" i="268"/>
  <c r="G53" i="268"/>
  <c r="F74" i="268"/>
  <c r="G99" i="268"/>
  <c r="H162" i="268"/>
  <c r="C63" i="281" s="1"/>
  <c r="F34" i="268"/>
  <c r="F50" i="268" s="1"/>
  <c r="G80" i="268"/>
  <c r="H141" i="268"/>
  <c r="F166" i="268"/>
  <c r="F168" i="268" s="1"/>
  <c r="H184" i="268"/>
  <c r="H246" i="268"/>
  <c r="H251" i="268"/>
  <c r="F95" i="268"/>
  <c r="H156" i="268"/>
  <c r="C56" i="281" s="1"/>
  <c r="H191" i="268"/>
  <c r="C20" i="282" s="1"/>
  <c r="C152" i="273" s="1"/>
  <c r="H247" i="268"/>
  <c r="J21" i="287" s="1"/>
  <c r="L21" i="287" s="1"/>
  <c r="F99" i="268"/>
  <c r="F152" i="268"/>
  <c r="F170" i="268"/>
  <c r="G34" i="268"/>
  <c r="G50" i="268" s="1"/>
  <c r="G152" i="268"/>
  <c r="H140" i="268"/>
  <c r="G166" i="268"/>
  <c r="G168" i="268" s="1"/>
  <c r="H189" i="268"/>
  <c r="C17" i="282" s="1"/>
  <c r="C149" i="273" s="1"/>
  <c r="G95" i="268"/>
  <c r="G103" i="268"/>
  <c r="H164" i="268"/>
  <c r="H187" i="268"/>
  <c r="H249" i="268"/>
  <c r="J23" i="287" s="1"/>
  <c r="L23" i="287" s="1"/>
  <c r="H254" i="268"/>
  <c r="F215" i="268"/>
  <c r="F235" i="268"/>
  <c r="H137" i="268"/>
  <c r="C32" i="281" s="1"/>
  <c r="H158" i="268"/>
  <c r="G53" i="266"/>
  <c r="H158" i="266"/>
  <c r="B58" i="281" s="1"/>
  <c r="H247" i="266"/>
  <c r="J21" i="286" s="1"/>
  <c r="L21" i="286" s="1"/>
  <c r="H252" i="266"/>
  <c r="J20" i="286" s="1"/>
  <c r="L20" i="286" s="1"/>
  <c r="G103" i="266"/>
  <c r="F84" i="266"/>
  <c r="F95" i="266"/>
  <c r="F99" i="266"/>
  <c r="F103" i="266"/>
  <c r="H140" i="266"/>
  <c r="B35" i="281" s="1"/>
  <c r="H176" i="266"/>
  <c r="B6" i="282" s="1"/>
  <c r="H182" i="266"/>
  <c r="B10" i="282" s="1"/>
  <c r="F14" i="266"/>
  <c r="G74" i="266"/>
  <c r="F178" i="266"/>
  <c r="F177" i="266" s="1"/>
  <c r="G14" i="266"/>
  <c r="H179" i="266"/>
  <c r="G95" i="266"/>
  <c r="G99" i="266"/>
  <c r="F135" i="266"/>
  <c r="H244" i="266"/>
  <c r="G80" i="266"/>
  <c r="G84" i="266"/>
  <c r="G135" i="266"/>
  <c r="H248" i="266"/>
  <c r="J22" i="286" s="1"/>
  <c r="L22" i="286" s="1"/>
  <c r="F152" i="266"/>
  <c r="G178" i="266"/>
  <c r="G177" i="266" s="1"/>
  <c r="F34" i="266"/>
  <c r="F50" i="266" s="1"/>
  <c r="G152" i="266"/>
  <c r="F166" i="266"/>
  <c r="F168" i="266" s="1"/>
  <c r="H187" i="266"/>
  <c r="B15" i="282" s="1"/>
  <c r="H249" i="266"/>
  <c r="J23" i="286" s="1"/>
  <c r="L23" i="286" s="1"/>
  <c r="G34" i="266"/>
  <c r="G50" i="266" s="1"/>
  <c r="F80" i="266"/>
  <c r="H137" i="266"/>
  <c r="B32" i="281" s="1"/>
  <c r="H141" i="266"/>
  <c r="B36" i="281" s="1"/>
  <c r="H175" i="266"/>
  <c r="B5" i="282" s="1"/>
  <c r="H184" i="266"/>
  <c r="B12" i="282" s="1"/>
  <c r="H246" i="266"/>
  <c r="H244" i="432" s="1"/>
  <c r="H254" i="266"/>
  <c r="H252" i="432" s="1"/>
  <c r="F171" i="266"/>
  <c r="F170" i="266" s="1"/>
  <c r="G166" i="266"/>
  <c r="G168" i="266" s="1"/>
  <c r="H251" i="266"/>
  <c r="H249" i="432" s="1"/>
  <c r="G215" i="266"/>
  <c r="G235" i="266"/>
  <c r="L7" i="266"/>
  <c r="E7" i="266" s="1"/>
  <c r="H7" i="266" s="1"/>
  <c r="B4" i="280" s="1"/>
  <c r="L15" i="266"/>
  <c r="E15" i="266" s="1"/>
  <c r="L20" i="266"/>
  <c r="E20" i="266" s="1"/>
  <c r="H20" i="266" s="1"/>
  <c r="B13" i="280" s="1"/>
  <c r="L30" i="266"/>
  <c r="E30" i="266" s="1"/>
  <c r="H30" i="266" s="1"/>
  <c r="B215" i="273" s="1"/>
  <c r="L38" i="266"/>
  <c r="E38" i="266" s="1"/>
  <c r="H38" i="266" s="1"/>
  <c r="L46" i="266"/>
  <c r="E46" i="266" s="1"/>
  <c r="H46" i="266" s="1"/>
  <c r="L54" i="266"/>
  <c r="E54" i="266" s="1"/>
  <c r="H54" i="266" s="1"/>
  <c r="B23" i="280" s="1"/>
  <c r="B40" i="273" s="1"/>
  <c r="L58" i="266"/>
  <c r="L60" i="266"/>
  <c r="E60" i="266" s="1"/>
  <c r="E65" i="266"/>
  <c r="H65" i="266" s="1"/>
  <c r="B217" i="273" s="1"/>
  <c r="D217" i="273" s="1"/>
  <c r="L68" i="266"/>
  <c r="E68" i="266" s="1"/>
  <c r="L77" i="266"/>
  <c r="E77" i="266" s="1"/>
  <c r="L85" i="266"/>
  <c r="E85" i="266" s="1"/>
  <c r="H85" i="266" s="1"/>
  <c r="L95" i="266"/>
  <c r="L103" i="266"/>
  <c r="L115" i="266"/>
  <c r="E115" i="266" s="1"/>
  <c r="H115" i="266" s="1"/>
  <c r="B8" i="281" s="1"/>
  <c r="B71" i="273" s="1"/>
  <c r="L123" i="266"/>
  <c r="E123" i="266" s="1"/>
  <c r="H123" i="266" s="1"/>
  <c r="B16" i="281" s="1"/>
  <c r="L131" i="266"/>
  <c r="E131" i="266" s="1"/>
  <c r="H131" i="266" s="1"/>
  <c r="B12" i="281" s="1"/>
  <c r="B76" i="273" s="1"/>
  <c r="L151" i="266"/>
  <c r="E151" i="266" s="1"/>
  <c r="H151" i="266" s="1"/>
  <c r="B43" i="281" s="1"/>
  <c r="B104" i="273" s="1"/>
  <c r="L155" i="266"/>
  <c r="E155" i="266" s="1"/>
  <c r="L157" i="266"/>
  <c r="E204" i="266"/>
  <c r="H204" i="266" s="1"/>
  <c r="B37" i="282" s="1"/>
  <c r="B169" i="273" s="1"/>
  <c r="L4" i="266"/>
  <c r="E4" i="266" s="1"/>
  <c r="L12" i="266"/>
  <c r="E12" i="266" s="1"/>
  <c r="L17" i="266"/>
  <c r="L25" i="266"/>
  <c r="L35" i="266"/>
  <c r="E35" i="266" s="1"/>
  <c r="L43" i="266"/>
  <c r="E43" i="266" s="1"/>
  <c r="H43" i="266" s="1"/>
  <c r="L51" i="266"/>
  <c r="E51" i="266" s="1"/>
  <c r="E61" i="266"/>
  <c r="H61" i="266" s="1"/>
  <c r="B216" i="273" s="1"/>
  <c r="D216" i="273" s="1"/>
  <c r="E69" i="266"/>
  <c r="H69" i="266" s="1"/>
  <c r="L74" i="266"/>
  <c r="L82" i="266"/>
  <c r="E82" i="266" s="1"/>
  <c r="H82" i="266" s="1"/>
  <c r="B226" i="273" s="1"/>
  <c r="D226" i="273" s="1"/>
  <c r="L92" i="266"/>
  <c r="E92" i="266" s="1"/>
  <c r="L100" i="266"/>
  <c r="E100" i="266" s="1"/>
  <c r="H100" i="266" s="1"/>
  <c r="B47" i="280" s="1"/>
  <c r="B61" i="273" s="1"/>
  <c r="L108" i="266"/>
  <c r="L112" i="266"/>
  <c r="E112" i="266" s="1"/>
  <c r="H112" i="266" s="1"/>
  <c r="B5" i="281" s="1"/>
  <c r="L120" i="266"/>
  <c r="E120" i="266" s="1"/>
  <c r="H120" i="266" s="1"/>
  <c r="B13" i="281" s="1"/>
  <c r="L128" i="266"/>
  <c r="E128" i="266" s="1"/>
  <c r="H128" i="266" s="1"/>
  <c r="L137" i="266"/>
  <c r="L144" i="266"/>
  <c r="E144" i="266" s="1"/>
  <c r="L148" i="266"/>
  <c r="E148" i="266" s="1"/>
  <c r="H148" i="266" s="1"/>
  <c r="B40" i="281" s="1"/>
  <c r="B101" i="273" s="1"/>
  <c r="L159" i="266"/>
  <c r="E159" i="266" s="1"/>
  <c r="H159" i="266" s="1"/>
  <c r="B59" i="281" s="1"/>
  <c r="L166" i="266"/>
  <c r="H200" i="266"/>
  <c r="B34" i="282" s="1"/>
  <c r="L9" i="266"/>
  <c r="E9" i="266" s="1"/>
  <c r="H9" i="266" s="1"/>
  <c r="B6" i="280" s="1"/>
  <c r="B20" i="273" s="1"/>
  <c r="L22" i="266"/>
  <c r="E22" i="266" s="1"/>
  <c r="H22" i="266" s="1"/>
  <c r="B15" i="280" s="1"/>
  <c r="L32" i="266"/>
  <c r="E32" i="266" s="1"/>
  <c r="H32" i="266" s="1"/>
  <c r="B18" i="280" s="1"/>
  <c r="L40" i="266"/>
  <c r="E40" i="266" s="1"/>
  <c r="H40" i="266" s="1"/>
  <c r="L48" i="266"/>
  <c r="E48" i="266" s="1"/>
  <c r="H48" i="266" s="1"/>
  <c r="L56" i="266"/>
  <c r="E56" i="266" s="1"/>
  <c r="H56" i="266" s="1"/>
  <c r="B25" i="280" s="1"/>
  <c r="B42" i="273" s="1"/>
  <c r="L79" i="266"/>
  <c r="E79" i="266" s="1"/>
  <c r="H79" i="266" s="1"/>
  <c r="L89" i="266"/>
  <c r="E89" i="266" s="1"/>
  <c r="H89" i="266" s="1"/>
  <c r="L97" i="266"/>
  <c r="E97" i="266" s="1"/>
  <c r="H97" i="266" s="1"/>
  <c r="B227" i="273" s="1"/>
  <c r="D227" i="273" s="1"/>
  <c r="L105" i="266"/>
  <c r="E105" i="266" s="1"/>
  <c r="H105" i="266" s="1"/>
  <c r="B50" i="280" s="1"/>
  <c r="B64" i="273" s="1"/>
  <c r="L109" i="266"/>
  <c r="L117" i="266"/>
  <c r="E117" i="266" s="1"/>
  <c r="H117" i="266" s="1"/>
  <c r="L125" i="266"/>
  <c r="E125" i="266" s="1"/>
  <c r="H125" i="266" s="1"/>
  <c r="B21" i="281" s="1"/>
  <c r="B85" i="273" s="1"/>
  <c r="L133" i="266"/>
  <c r="E133" i="266" s="1"/>
  <c r="H133" i="266" s="1"/>
  <c r="B28" i="281" s="1"/>
  <c r="B91" i="273" s="1"/>
  <c r="E145" i="266"/>
  <c r="H145" i="266" s="1"/>
  <c r="L153" i="266"/>
  <c r="L161" i="266"/>
  <c r="E161" i="266" s="1"/>
  <c r="H161" i="266" s="1"/>
  <c r="B61" i="281" s="1"/>
  <c r="E173" i="266"/>
  <c r="H173" i="266" s="1"/>
  <c r="H192" i="266"/>
  <c r="B21" i="282" s="1"/>
  <c r="B153" i="273" s="1"/>
  <c r="E194" i="266"/>
  <c r="H194" i="266" s="1"/>
  <c r="B27" i="282" s="1"/>
  <c r="L6" i="266"/>
  <c r="E6" i="266" s="1"/>
  <c r="H6" i="266" s="1"/>
  <c r="B5" i="261" s="1"/>
  <c r="L14" i="266"/>
  <c r="L19" i="266"/>
  <c r="E19" i="266" s="1"/>
  <c r="H19" i="266" s="1"/>
  <c r="L29" i="266"/>
  <c r="E29" i="266" s="1"/>
  <c r="L37" i="266"/>
  <c r="E37" i="266" s="1"/>
  <c r="H37" i="266" s="1"/>
  <c r="L45" i="266"/>
  <c r="E45" i="266" s="1"/>
  <c r="H45" i="266" s="1"/>
  <c r="L53" i="266"/>
  <c r="L63" i="266"/>
  <c r="E63" i="266" s="1"/>
  <c r="H63" i="266" s="1"/>
  <c r="B30" i="280" s="1"/>
  <c r="B45" i="273" s="1"/>
  <c r="L67" i="266"/>
  <c r="E67" i="266" s="1"/>
  <c r="H67" i="266" s="1"/>
  <c r="B32" i="280" s="1"/>
  <c r="B47" i="273" s="1"/>
  <c r="L76" i="266"/>
  <c r="E76" i="266" s="1"/>
  <c r="H76" i="266" s="1"/>
  <c r="B36" i="280" s="1"/>
  <c r="B51" i="273" s="1"/>
  <c r="L84" i="266"/>
  <c r="L94" i="266"/>
  <c r="E94" i="266" s="1"/>
  <c r="H94" i="266" s="1"/>
  <c r="L102" i="266"/>
  <c r="E102" i="266" s="1"/>
  <c r="H102" i="266" s="1"/>
  <c r="B225" i="273" s="1"/>
  <c r="D225" i="273" s="1"/>
  <c r="L114" i="266"/>
  <c r="E114" i="266" s="1"/>
  <c r="H114" i="266" s="1"/>
  <c r="B7" i="281" s="1"/>
  <c r="B70" i="273" s="1"/>
  <c r="L122" i="266"/>
  <c r="E122" i="266" s="1"/>
  <c r="H122" i="266" s="1"/>
  <c r="B15" i="281" s="1"/>
  <c r="L130" i="266"/>
  <c r="E130" i="266" s="1"/>
  <c r="H130" i="266" s="1"/>
  <c r="B26" i="281" s="1"/>
  <c r="L139" i="266"/>
  <c r="E139" i="266" s="1"/>
  <c r="H139" i="266" s="1"/>
  <c r="B34" i="281" s="1"/>
  <c r="B95" i="273" s="1"/>
  <c r="L141" i="266"/>
  <c r="L150" i="266"/>
  <c r="E150" i="266" s="1"/>
  <c r="H150" i="266" s="1"/>
  <c r="B42" i="281" s="1"/>
  <c r="L154" i="266"/>
  <c r="H156" i="266"/>
  <c r="B56" i="281" s="1"/>
  <c r="L163" i="266"/>
  <c r="E163" i="266" s="1"/>
  <c r="H163" i="266" s="1"/>
  <c r="B64" i="281" s="1"/>
  <c r="H180" i="266"/>
  <c r="H190" i="266"/>
  <c r="L11" i="266"/>
  <c r="E11" i="266" s="1"/>
  <c r="H11" i="266" s="1"/>
  <c r="B8" i="280" s="1"/>
  <c r="B22" i="273" s="1"/>
  <c r="L24" i="266"/>
  <c r="E24" i="266" s="1"/>
  <c r="H24" i="266" s="1"/>
  <c r="L34" i="266"/>
  <c r="L42" i="266"/>
  <c r="E42" i="266" s="1"/>
  <c r="H42" i="266" s="1"/>
  <c r="L50" i="266"/>
  <c r="E64" i="266"/>
  <c r="L73" i="266"/>
  <c r="E73" i="266" s="1"/>
  <c r="H73" i="266" s="1"/>
  <c r="B222" i="273" s="1"/>
  <c r="D222" i="273" s="1"/>
  <c r="L81" i="266"/>
  <c r="E81" i="266" s="1"/>
  <c r="L91" i="266"/>
  <c r="E91" i="266" s="1"/>
  <c r="H91" i="266" s="1"/>
  <c r="B44" i="280" s="1"/>
  <c r="B57" i="273" s="1"/>
  <c r="L99" i="266"/>
  <c r="L107" i="266"/>
  <c r="L111" i="266"/>
  <c r="E111" i="266" s="1"/>
  <c r="H111" i="266" s="1"/>
  <c r="B4" i="281" s="1"/>
  <c r="L119" i="266"/>
  <c r="E119" i="266" s="1"/>
  <c r="H119" i="266" s="1"/>
  <c r="L127" i="266"/>
  <c r="E127" i="266" s="1"/>
  <c r="H127" i="266" s="1"/>
  <c r="L135" i="266"/>
  <c r="L143" i="266"/>
  <c r="E143" i="266" s="1"/>
  <c r="H143" i="266" s="1"/>
  <c r="L147" i="266"/>
  <c r="E147" i="266" s="1"/>
  <c r="H147" i="266" s="1"/>
  <c r="B39" i="281" s="1"/>
  <c r="B100" i="273" s="1"/>
  <c r="L156" i="266"/>
  <c r="L158" i="266"/>
  <c r="L165" i="266"/>
  <c r="H188" i="266"/>
  <c r="B16" i="282" s="1"/>
  <c r="B148" i="273" s="1"/>
  <c r="H205" i="266"/>
  <c r="B39" i="282" s="1"/>
  <c r="B171" i="273" s="1"/>
  <c r="H207" i="266"/>
  <c r="B41" i="282" s="1"/>
  <c r="F215" i="266"/>
  <c r="L8" i="266"/>
  <c r="E8" i="266" s="1"/>
  <c r="H8" i="266" s="1"/>
  <c r="B5" i="280" s="1"/>
  <c r="L16" i="266"/>
  <c r="E16" i="266" s="1"/>
  <c r="H16" i="266" s="1"/>
  <c r="B214" i="273" s="1"/>
  <c r="L21" i="266"/>
  <c r="E21" i="266" s="1"/>
  <c r="H21" i="266" s="1"/>
  <c r="B14" i="280" s="1"/>
  <c r="L31" i="266"/>
  <c r="L39" i="266"/>
  <c r="E39" i="266" s="1"/>
  <c r="H39" i="266" s="1"/>
  <c r="L47" i="266"/>
  <c r="E47" i="266" s="1"/>
  <c r="H47" i="266" s="1"/>
  <c r="L55" i="266"/>
  <c r="E55" i="266" s="1"/>
  <c r="H55" i="266" s="1"/>
  <c r="B24" i="280" s="1"/>
  <c r="B41" i="273" s="1"/>
  <c r="L59" i="266"/>
  <c r="E59" i="266" s="1"/>
  <c r="E70" i="266"/>
  <c r="H70" i="266" s="1"/>
  <c r="B219" i="273" s="1"/>
  <c r="D219" i="273" s="1"/>
  <c r="L78" i="266"/>
  <c r="E78" i="266" s="1"/>
  <c r="H78" i="266" s="1"/>
  <c r="B228" i="273" s="1"/>
  <c r="D228" i="273" s="1"/>
  <c r="L96" i="266"/>
  <c r="E96" i="266" s="1"/>
  <c r="L104" i="266"/>
  <c r="E104" i="266" s="1"/>
  <c r="H104" i="266" s="1"/>
  <c r="B49" i="280" s="1"/>
  <c r="B63" i="273" s="1"/>
  <c r="L116" i="266"/>
  <c r="E116" i="266" s="1"/>
  <c r="H116" i="266" s="1"/>
  <c r="B9" i="281" s="1"/>
  <c r="B72" i="273" s="1"/>
  <c r="L124" i="266"/>
  <c r="E124" i="266" s="1"/>
  <c r="H124" i="266" s="1"/>
  <c r="B17" i="281" s="1"/>
  <c r="B81" i="273" s="1"/>
  <c r="L132" i="266"/>
  <c r="E132" i="266" s="1"/>
  <c r="H132" i="266" s="1"/>
  <c r="B27" i="281" s="1"/>
  <c r="B90" i="273" s="1"/>
  <c r="L136" i="266"/>
  <c r="L152" i="266"/>
  <c r="L160" i="266"/>
  <c r="L167" i="266"/>
  <c r="E201" i="266"/>
  <c r="H201" i="266" s="1"/>
  <c r="L5" i="266"/>
  <c r="E5" i="266" s="1"/>
  <c r="H5" i="266" s="1"/>
  <c r="B4" i="261" s="1"/>
  <c r="L13" i="266"/>
  <c r="E13" i="266" s="1"/>
  <c r="H13" i="266" s="1"/>
  <c r="B213" i="273" s="1"/>
  <c r="D213" i="273" s="1"/>
  <c r="L18" i="266"/>
  <c r="E18" i="266" s="1"/>
  <c r="H18" i="266" s="1"/>
  <c r="B11" i="280" s="1"/>
  <c r="B29" i="273" s="1"/>
  <c r="L36" i="266"/>
  <c r="E36" i="266" s="1"/>
  <c r="H36" i="266" s="1"/>
  <c r="L44" i="266"/>
  <c r="E44" i="266" s="1"/>
  <c r="H44" i="266" s="1"/>
  <c r="L52" i="266"/>
  <c r="E52" i="266" s="1"/>
  <c r="H52" i="266" s="1"/>
  <c r="B218" i="273" s="1"/>
  <c r="D218" i="273" s="1"/>
  <c r="L66" i="266"/>
  <c r="L75" i="266"/>
  <c r="E75" i="266" s="1"/>
  <c r="H75" i="266" s="1"/>
  <c r="B35" i="280" s="1"/>
  <c r="B50" i="273" s="1"/>
  <c r="L83" i="266"/>
  <c r="E83" i="266" s="1"/>
  <c r="H83" i="266" s="1"/>
  <c r="L93" i="266"/>
  <c r="E93" i="266" s="1"/>
  <c r="H93" i="266" s="1"/>
  <c r="L101" i="266"/>
  <c r="E101" i="266" s="1"/>
  <c r="L113" i="266"/>
  <c r="E113" i="266" s="1"/>
  <c r="H113" i="266" s="1"/>
  <c r="B6" i="281" s="1"/>
  <c r="B69" i="273" s="1"/>
  <c r="L121" i="266"/>
  <c r="E121" i="266" s="1"/>
  <c r="H121" i="266" s="1"/>
  <c r="B14" i="281" s="1"/>
  <c r="L129" i="266"/>
  <c r="E129" i="266" s="1"/>
  <c r="H129" i="266" s="1"/>
  <c r="B25" i="281" s="1"/>
  <c r="L138" i="266"/>
  <c r="E138" i="266" s="1"/>
  <c r="L149" i="266"/>
  <c r="E149" i="266" s="1"/>
  <c r="H149" i="266" s="1"/>
  <c r="L162" i="266"/>
  <c r="E172" i="266"/>
  <c r="E193" i="266"/>
  <c r="H193" i="266" s="1"/>
  <c r="L10" i="266"/>
  <c r="E10" i="266" s="1"/>
  <c r="H10" i="266" s="1"/>
  <c r="B7" i="280" s="1"/>
  <c r="B21" i="273" s="1"/>
  <c r="L23" i="266"/>
  <c r="E23" i="266" s="1"/>
  <c r="L33" i="266"/>
  <c r="E33" i="266" s="1"/>
  <c r="H33" i="266" s="1"/>
  <c r="L41" i="266"/>
  <c r="E41" i="266" s="1"/>
  <c r="H41" i="266" s="1"/>
  <c r="L49" i="266"/>
  <c r="E49" i="266" s="1"/>
  <c r="H49" i="266" s="1"/>
  <c r="B220" i="273" s="1"/>
  <c r="D220" i="273" s="1"/>
  <c r="L57" i="266"/>
  <c r="L72" i="266"/>
  <c r="E72" i="266" s="1"/>
  <c r="L80" i="266"/>
  <c r="L90" i="266"/>
  <c r="E90" i="266" s="1"/>
  <c r="H90" i="266" s="1"/>
  <c r="B43" i="280" s="1"/>
  <c r="B56" i="273" s="1"/>
  <c r="L98" i="266"/>
  <c r="E98" i="266" s="1"/>
  <c r="H98" i="266" s="1"/>
  <c r="L106" i="266"/>
  <c r="E106" i="266" s="1"/>
  <c r="H106" i="266" s="1"/>
  <c r="B51" i="280" s="1"/>
  <c r="B65" i="273" s="1"/>
  <c r="L110" i="266"/>
  <c r="E110" i="266" s="1"/>
  <c r="L118" i="266"/>
  <c r="E118" i="266" s="1"/>
  <c r="H118" i="266" s="1"/>
  <c r="L126" i="266"/>
  <c r="E126" i="266" s="1"/>
  <c r="H126" i="266" s="1"/>
  <c r="L134" i="266"/>
  <c r="E134" i="266" s="1"/>
  <c r="H134" i="266" s="1"/>
  <c r="B29" i="281" s="1"/>
  <c r="B92" i="273" s="1"/>
  <c r="L140" i="266"/>
  <c r="L142" i="266"/>
  <c r="L164" i="266"/>
  <c r="E86" i="432" l="1"/>
  <c r="H86" i="432" s="1"/>
  <c r="H87" i="268"/>
  <c r="H88" i="268" s="1"/>
  <c r="C57" i="282"/>
  <c r="C184" i="288" s="1"/>
  <c r="D186" i="288"/>
  <c r="E186" i="288" s="1"/>
  <c r="D180" i="288"/>
  <c r="E180" i="288" s="1"/>
  <c r="D190" i="288"/>
  <c r="E190" i="288" s="1"/>
  <c r="D191" i="288"/>
  <c r="E191" i="288" s="1"/>
  <c r="H95" i="432"/>
  <c r="D187" i="288"/>
  <c r="E187" i="288" s="1"/>
  <c r="D182" i="288"/>
  <c r="E182" i="288" s="1"/>
  <c r="D189" i="288"/>
  <c r="E189" i="288" s="1"/>
  <c r="D183" i="288"/>
  <c r="E183" i="288" s="1"/>
  <c r="D192" i="288"/>
  <c r="E192" i="288" s="1"/>
  <c r="C6" i="232"/>
  <c r="J19" i="287"/>
  <c r="L19" i="287" s="1"/>
  <c r="K362" i="502"/>
  <c r="B9" i="232"/>
  <c r="L25" i="286"/>
  <c r="B3" i="258"/>
  <c r="B166" i="273"/>
  <c r="C73" i="281"/>
  <c r="B103" i="273"/>
  <c r="K106" i="502"/>
  <c r="B12" i="280"/>
  <c r="B30" i="273" s="1"/>
  <c r="B223" i="273"/>
  <c r="D223" i="273" s="1"/>
  <c r="D215" i="273"/>
  <c r="C70" i="281"/>
  <c r="C4" i="282"/>
  <c r="C131" i="288" s="1"/>
  <c r="K187" i="502"/>
  <c r="B18" i="282"/>
  <c r="B150" i="273" s="1"/>
  <c r="C4" i="258"/>
  <c r="C165" i="273"/>
  <c r="K174" i="502"/>
  <c r="B17" i="282"/>
  <c r="B149" i="273" s="1"/>
  <c r="B221" i="273"/>
  <c r="D221" i="273" s="1"/>
  <c r="K16" i="502"/>
  <c r="B11" i="281"/>
  <c r="B115" i="273"/>
  <c r="B120" i="273"/>
  <c r="C122" i="273"/>
  <c r="C13" i="282"/>
  <c r="C140" i="288" s="1"/>
  <c r="C15" i="282"/>
  <c r="C142" i="288" s="1"/>
  <c r="C9" i="282"/>
  <c r="C136" i="288" s="1"/>
  <c r="D214" i="273"/>
  <c r="C58" i="281"/>
  <c r="C12" i="282"/>
  <c r="C139" i="288" s="1"/>
  <c r="C5" i="282"/>
  <c r="C132" i="288" s="1"/>
  <c r="C11" i="282"/>
  <c r="C138" i="288" s="1"/>
  <c r="C9" i="232"/>
  <c r="L25" i="287"/>
  <c r="M25" i="287" s="1"/>
  <c r="O25" i="287" s="1"/>
  <c r="B122" i="273"/>
  <c r="C115" i="273"/>
  <c r="K52" i="502"/>
  <c r="B41" i="281"/>
  <c r="B102" i="273" s="1"/>
  <c r="K247" i="502"/>
  <c r="K259" i="502" s="1"/>
  <c r="B33" i="283" s="1"/>
  <c r="B233" i="288" s="1"/>
  <c r="D233" i="288" s="1"/>
  <c r="E233" i="288" s="1"/>
  <c r="B35" i="282"/>
  <c r="B118" i="273"/>
  <c r="B224" i="273"/>
  <c r="D224" i="273" s="1"/>
  <c r="C57" i="281"/>
  <c r="C109" i="288" s="1"/>
  <c r="J22" i="287"/>
  <c r="L22" i="287" s="1"/>
  <c r="B13" i="258"/>
  <c r="B164" i="273"/>
  <c r="B15" i="258"/>
  <c r="B159" i="273"/>
  <c r="K109" i="502"/>
  <c r="B10" i="281"/>
  <c r="B73" i="273" s="1"/>
  <c r="C36" i="281"/>
  <c r="C88" i="288" s="1"/>
  <c r="C14" i="282"/>
  <c r="C141" i="288" s="1"/>
  <c r="C31" i="282"/>
  <c r="C158" i="288" s="1"/>
  <c r="B4" i="258"/>
  <c r="B165" i="273"/>
  <c r="D193" i="288"/>
  <c r="E193" i="288" s="1"/>
  <c r="K45" i="502"/>
  <c r="B26" i="282"/>
  <c r="B158" i="273" s="1"/>
  <c r="C2" i="231"/>
  <c r="C7" i="231" s="1"/>
  <c r="B6" i="232"/>
  <c r="J19" i="286"/>
  <c r="L19" i="286" s="1"/>
  <c r="C60" i="281"/>
  <c r="C112" i="288" s="1"/>
  <c r="C30" i="282"/>
  <c r="C157" i="288" s="1"/>
  <c r="C10" i="282"/>
  <c r="C137" i="288" s="1"/>
  <c r="J20" i="287"/>
  <c r="L20" i="287" s="1"/>
  <c r="C32" i="282"/>
  <c r="C164" i="273" s="1"/>
  <c r="D181" i="288"/>
  <c r="E181" i="288" s="1"/>
  <c r="C6" i="282"/>
  <c r="C133" i="288" s="1"/>
  <c r="C35" i="281"/>
  <c r="C87" i="288" s="1"/>
  <c r="B23" i="281"/>
  <c r="B87" i="273" s="1"/>
  <c r="D188" i="288"/>
  <c r="E188" i="288" s="1"/>
  <c r="K197" i="502"/>
  <c r="B20" i="282"/>
  <c r="B152" i="273" s="1"/>
  <c r="H29" i="268"/>
  <c r="K219" i="502" s="1"/>
  <c r="E29" i="432"/>
  <c r="H193" i="268"/>
  <c r="C26" i="282" s="1"/>
  <c r="C158" i="273" s="1"/>
  <c r="E191" i="432"/>
  <c r="H191" i="432" s="1"/>
  <c r="H143" i="268"/>
  <c r="E141" i="432"/>
  <c r="H141" i="432" s="1"/>
  <c r="H104" i="268"/>
  <c r="C49" i="280" s="1"/>
  <c r="C63" i="273" s="1"/>
  <c r="E102" i="432"/>
  <c r="H102" i="432" s="1"/>
  <c r="H129" i="268"/>
  <c r="E127" i="432"/>
  <c r="H127" i="432" s="1"/>
  <c r="H131" i="268"/>
  <c r="C12" i="281" s="1"/>
  <c r="C76" i="273" s="1"/>
  <c r="E129" i="432"/>
  <c r="H129" i="432" s="1"/>
  <c r="H179" i="268"/>
  <c r="E177" i="432"/>
  <c r="H177" i="432" s="1"/>
  <c r="H38" i="268"/>
  <c r="C24" i="288" s="1"/>
  <c r="E38" i="432"/>
  <c r="H38" i="432" s="1"/>
  <c r="H94" i="268"/>
  <c r="B30" i="404" s="1"/>
  <c r="U27" i="501" s="1"/>
  <c r="V27" i="501" s="1"/>
  <c r="E92" i="432"/>
  <c r="H92" i="432" s="1"/>
  <c r="H10" i="268"/>
  <c r="C7" i="280" s="1"/>
  <c r="C21" i="273" s="1"/>
  <c r="E10" i="432"/>
  <c r="H10" i="432" s="1"/>
  <c r="H163" i="268"/>
  <c r="E161" i="432"/>
  <c r="H161" i="432" s="1"/>
  <c r="H15" i="268"/>
  <c r="K14" i="502" s="1"/>
  <c r="E15" i="432"/>
  <c r="H106" i="268"/>
  <c r="E104" i="432"/>
  <c r="H104" i="432" s="1"/>
  <c r="H45" i="268"/>
  <c r="E45" i="432"/>
  <c r="H45" i="432" s="1"/>
  <c r="H200" i="268"/>
  <c r="C34" i="282" s="1"/>
  <c r="E198" i="432"/>
  <c r="H198" i="432" s="1"/>
  <c r="H121" i="268"/>
  <c r="E119" i="432"/>
  <c r="H119" i="432" s="1"/>
  <c r="H147" i="268"/>
  <c r="C39" i="281" s="1"/>
  <c r="C100" i="273" s="1"/>
  <c r="E145" i="432"/>
  <c r="H145" i="432" s="1"/>
  <c r="H93" i="268"/>
  <c r="E91" i="432"/>
  <c r="H91" i="432" s="1"/>
  <c r="H20" i="268"/>
  <c r="E20" i="432"/>
  <c r="H20" i="432" s="1"/>
  <c r="H123" i="268"/>
  <c r="E121" i="432"/>
  <c r="H121" i="432" s="1"/>
  <c r="H61" i="268"/>
  <c r="B8" i="404" s="1"/>
  <c r="U7" i="501" s="1"/>
  <c r="V7" i="501" s="1"/>
  <c r="E61" i="432"/>
  <c r="H61" i="432" s="1"/>
  <c r="H11" i="268"/>
  <c r="C8" i="280" s="1"/>
  <c r="C22" i="273" s="1"/>
  <c r="E11" i="432"/>
  <c r="H11" i="432" s="1"/>
  <c r="H149" i="268"/>
  <c r="E147" i="432"/>
  <c r="H147" i="432" s="1"/>
  <c r="H70" i="268"/>
  <c r="B11" i="404" s="1"/>
  <c r="U10" i="501" s="1"/>
  <c r="V10" i="501" s="1"/>
  <c r="E70" i="432"/>
  <c r="H70" i="432" s="1"/>
  <c r="H13" i="268"/>
  <c r="B3" i="404" s="1"/>
  <c r="U2" i="501" s="1"/>
  <c r="V2" i="501" s="1"/>
  <c r="E13" i="432"/>
  <c r="H13" i="432" s="1"/>
  <c r="H119" i="268"/>
  <c r="E117" i="432"/>
  <c r="H117" i="432" s="1"/>
  <c r="H79" i="268"/>
  <c r="B22" i="404" s="1"/>
  <c r="U19" i="501" s="1"/>
  <c r="V19" i="501" s="1"/>
  <c r="E79" i="432"/>
  <c r="H79" i="432" s="1"/>
  <c r="H92" i="268"/>
  <c r="E90" i="432"/>
  <c r="H111" i="268"/>
  <c r="C4" i="281" s="1"/>
  <c r="C57" i="288" s="1"/>
  <c r="E109" i="432"/>
  <c r="H109" i="432" s="1"/>
  <c r="H96" i="268"/>
  <c r="E94" i="432"/>
  <c r="H133" i="268"/>
  <c r="C28" i="281" s="1"/>
  <c r="C91" i="273" s="1"/>
  <c r="E131" i="432"/>
  <c r="H131" i="432" s="1"/>
  <c r="H151" i="268"/>
  <c r="C43" i="281" s="1"/>
  <c r="C104" i="273" s="1"/>
  <c r="E149" i="432"/>
  <c r="H149" i="432" s="1"/>
  <c r="H100" i="268"/>
  <c r="C47" i="280" s="1"/>
  <c r="C61" i="273" s="1"/>
  <c r="E98" i="432"/>
  <c r="H98" i="432" s="1"/>
  <c r="H113" i="268"/>
  <c r="C6" i="281" s="1"/>
  <c r="C69" i="273" s="1"/>
  <c r="E111" i="432"/>
  <c r="H111" i="432" s="1"/>
  <c r="H23" i="268"/>
  <c r="E23" i="432"/>
  <c r="H138" i="268"/>
  <c r="E136" i="432"/>
  <c r="H115" i="268"/>
  <c r="C8" i="281" s="1"/>
  <c r="C71" i="273" s="1"/>
  <c r="E113" i="432"/>
  <c r="H113" i="432" s="1"/>
  <c r="H6" i="268"/>
  <c r="C5" i="261" s="1"/>
  <c r="E6" i="432"/>
  <c r="H6" i="432" s="1"/>
  <c r="H64" i="268"/>
  <c r="E64" i="432"/>
  <c r="H8" i="268"/>
  <c r="E8" i="432"/>
  <c r="H8" i="432" s="1"/>
  <c r="H161" i="268"/>
  <c r="C61" i="281" s="1"/>
  <c r="E159" i="432"/>
  <c r="H159" i="432" s="1"/>
  <c r="H192" i="268"/>
  <c r="C21" i="282" s="1"/>
  <c r="C153" i="273" s="1"/>
  <c r="E190" i="432"/>
  <c r="H190" i="432" s="1"/>
  <c r="H51" i="268"/>
  <c r="E51" i="432"/>
  <c r="H33" i="268"/>
  <c r="E33" i="432"/>
  <c r="H33" i="432" s="1"/>
  <c r="H32" i="268"/>
  <c r="E32" i="432"/>
  <c r="H32" i="432" s="1"/>
  <c r="H5" i="268"/>
  <c r="C4" i="261" s="1"/>
  <c r="E5" i="432"/>
  <c r="H5" i="432" s="1"/>
  <c r="H12" i="268"/>
  <c r="K12" i="502" s="1"/>
  <c r="E12" i="432"/>
  <c r="H173" i="268"/>
  <c r="E171" i="432"/>
  <c r="H171" i="432" s="1"/>
  <c r="H125" i="268"/>
  <c r="C21" i="281" s="1"/>
  <c r="C85" i="273" s="1"/>
  <c r="E123" i="432"/>
  <c r="H123" i="432" s="1"/>
  <c r="H19" i="268"/>
  <c r="C11" i="394" s="1"/>
  <c r="E19" i="432"/>
  <c r="H19" i="432" s="1"/>
  <c r="H85" i="268"/>
  <c r="E85" i="432"/>
  <c r="H85" i="432" s="1"/>
  <c r="H148" i="268"/>
  <c r="C40" i="281" s="1"/>
  <c r="C101" i="273" s="1"/>
  <c r="E146" i="432"/>
  <c r="H146" i="432" s="1"/>
  <c r="H78" i="268"/>
  <c r="E78" i="432"/>
  <c r="H78" i="432" s="1"/>
  <c r="H7" i="268"/>
  <c r="E7" i="432"/>
  <c r="H7" i="432" s="1"/>
  <c r="H91" i="268"/>
  <c r="C44" i="280" s="1"/>
  <c r="C57" i="273" s="1"/>
  <c r="E89" i="432"/>
  <c r="H89" i="432" s="1"/>
  <c r="H9" i="268"/>
  <c r="C6" i="280" s="1"/>
  <c r="C20" i="273" s="1"/>
  <c r="E9" i="432"/>
  <c r="H9" i="432" s="1"/>
  <c r="H134" i="268"/>
  <c r="C29" i="281" s="1"/>
  <c r="C92" i="273" s="1"/>
  <c r="E132" i="432"/>
  <c r="H132" i="432" s="1"/>
  <c r="H83" i="268"/>
  <c r="B20" i="404" s="1"/>
  <c r="E83" i="432"/>
  <c r="H83" i="432" s="1"/>
  <c r="H105" i="268"/>
  <c r="C50" i="280" s="1"/>
  <c r="C50" i="288" s="1"/>
  <c r="E103" i="432"/>
  <c r="H103" i="432" s="1"/>
  <c r="H44" i="268"/>
  <c r="E44" i="432"/>
  <c r="H44" i="432" s="1"/>
  <c r="H194" i="268"/>
  <c r="E192" i="432"/>
  <c r="H192" i="432" s="1"/>
  <c r="H128" i="268"/>
  <c r="K220" i="502" s="1"/>
  <c r="E126" i="432"/>
  <c r="H126" i="432" s="1"/>
  <c r="H60" i="268"/>
  <c r="C29" i="280" s="1"/>
  <c r="C44" i="273" s="1"/>
  <c r="E60" i="432"/>
  <c r="H201" i="268"/>
  <c r="C35" i="282" s="1"/>
  <c r="C162" i="288" s="1"/>
  <c r="E199" i="432"/>
  <c r="H199" i="432" s="1"/>
  <c r="H124" i="268"/>
  <c r="E122" i="432"/>
  <c r="H122" i="432" s="1"/>
  <c r="H102" i="268"/>
  <c r="B27" i="404" s="1"/>
  <c r="U24" i="501" s="1"/>
  <c r="V24" i="501" s="1"/>
  <c r="E100" i="432"/>
  <c r="H100" i="432" s="1"/>
  <c r="H46" i="268"/>
  <c r="E46" i="432"/>
  <c r="H46" i="432" s="1"/>
  <c r="H190" i="268"/>
  <c r="C18" i="282" s="1"/>
  <c r="C150" i="273" s="1"/>
  <c r="E188" i="432"/>
  <c r="H188" i="432" s="1"/>
  <c r="H42" i="268"/>
  <c r="E42" i="432"/>
  <c r="H42" i="432" s="1"/>
  <c r="H73" i="268"/>
  <c r="B21" i="404" s="1"/>
  <c r="U18" i="501" s="1"/>
  <c r="V18" i="501" s="1"/>
  <c r="E73" i="432"/>
  <c r="H73" i="432" s="1"/>
  <c r="H76" i="268"/>
  <c r="C36" i="280" s="1"/>
  <c r="C51" i="273" s="1"/>
  <c r="E76" i="432"/>
  <c r="H76" i="432" s="1"/>
  <c r="H89" i="268"/>
  <c r="E87" i="432"/>
  <c r="H87" i="432" s="1"/>
  <c r="H155" i="268"/>
  <c r="C50" i="281" s="1"/>
  <c r="C48" i="281" s="1"/>
  <c r="C100" i="288" s="1"/>
  <c r="E153" i="432"/>
  <c r="H37" i="268"/>
  <c r="E37" i="432"/>
  <c r="H37" i="432" s="1"/>
  <c r="H117" i="268"/>
  <c r="E115" i="432"/>
  <c r="H115" i="432" s="1"/>
  <c r="H63" i="268"/>
  <c r="E63" i="432"/>
  <c r="H63" i="432" s="1"/>
  <c r="H130" i="268"/>
  <c r="E128" i="432"/>
  <c r="H128" i="432" s="1"/>
  <c r="E242" i="268"/>
  <c r="E240" i="432" s="1"/>
  <c r="E238" i="432"/>
  <c r="H145" i="268"/>
  <c r="E143" i="432"/>
  <c r="H143" i="432" s="1"/>
  <c r="H144" i="268"/>
  <c r="E142" i="432"/>
  <c r="H81" i="268"/>
  <c r="E81" i="432"/>
  <c r="H18" i="268"/>
  <c r="C11" i="280" s="1"/>
  <c r="C29" i="273" s="1"/>
  <c r="E18" i="432"/>
  <c r="H18" i="432" s="1"/>
  <c r="H4" i="268"/>
  <c r="C3" i="261" s="1"/>
  <c r="E4" i="432"/>
  <c r="H126" i="268"/>
  <c r="K360" i="502" s="1"/>
  <c r="E124" i="432"/>
  <c r="H124" i="432" s="1"/>
  <c r="H77" i="268"/>
  <c r="E77" i="432"/>
  <c r="H207" i="268"/>
  <c r="C41" i="282" s="1"/>
  <c r="C173" i="273" s="1"/>
  <c r="E205" i="432"/>
  <c r="H205" i="432" s="1"/>
  <c r="H36" i="268"/>
  <c r="E36" i="432"/>
  <c r="H36" i="432" s="1"/>
  <c r="H188" i="268"/>
  <c r="E186" i="432"/>
  <c r="H186" i="432" s="1"/>
  <c r="H120" i="268"/>
  <c r="E118" i="432"/>
  <c r="H118" i="432" s="1"/>
  <c r="H40" i="268"/>
  <c r="E40" i="432"/>
  <c r="H40" i="432" s="1"/>
  <c r="H39" i="268"/>
  <c r="E39" i="432"/>
  <c r="H39" i="432" s="1"/>
  <c r="H21" i="268"/>
  <c r="E21" i="432"/>
  <c r="H21" i="432" s="1"/>
  <c r="H204" i="268"/>
  <c r="C37" i="282" s="1"/>
  <c r="C169" i="273" s="1"/>
  <c r="E202" i="432"/>
  <c r="H202" i="432" s="1"/>
  <c r="H67" i="268"/>
  <c r="C32" i="280" s="1"/>
  <c r="C47" i="273" s="1"/>
  <c r="E67" i="432"/>
  <c r="H67" i="432" s="1"/>
  <c r="H59" i="268"/>
  <c r="E59" i="432"/>
  <c r="H122" i="268"/>
  <c r="E120" i="432"/>
  <c r="H120" i="432" s="1"/>
  <c r="H43" i="268"/>
  <c r="E43" i="432"/>
  <c r="H43" i="432" s="1"/>
  <c r="H139" i="268"/>
  <c r="E137" i="432"/>
  <c r="H137" i="432" s="1"/>
  <c r="H69" i="268"/>
  <c r="E69" i="432"/>
  <c r="H69" i="432" s="1"/>
  <c r="H75" i="268"/>
  <c r="C35" i="280" s="1"/>
  <c r="C50" i="273" s="1"/>
  <c r="E75" i="432"/>
  <c r="H75" i="432" s="1"/>
  <c r="H150" i="268"/>
  <c r="C42" i="281" s="1"/>
  <c r="C103" i="273" s="1"/>
  <c r="E148" i="432"/>
  <c r="H148" i="432" s="1"/>
  <c r="H65" i="268"/>
  <c r="B9" i="404" s="1"/>
  <c r="U8" i="501" s="1"/>
  <c r="V8" i="501" s="1"/>
  <c r="E65" i="432"/>
  <c r="H65" i="432" s="1"/>
  <c r="H118" i="268"/>
  <c r="E116" i="432"/>
  <c r="H116" i="432" s="1"/>
  <c r="H56" i="268"/>
  <c r="C25" i="280" s="1"/>
  <c r="C42" i="273" s="1"/>
  <c r="E56" i="432"/>
  <c r="H56" i="432" s="1"/>
  <c r="H159" i="268"/>
  <c r="C59" i="281" s="1"/>
  <c r="E157" i="432"/>
  <c r="H157" i="432" s="1"/>
  <c r="H90" i="268"/>
  <c r="C43" i="280" s="1"/>
  <c r="C56" i="273" s="1"/>
  <c r="E88" i="432"/>
  <c r="H88" i="432" s="1"/>
  <c r="H30" i="268"/>
  <c r="B7" i="404" s="1"/>
  <c r="U6" i="501" s="1"/>
  <c r="V6" i="501" s="1"/>
  <c r="E30" i="432"/>
  <c r="H30" i="432" s="1"/>
  <c r="H172" i="268"/>
  <c r="E170" i="432"/>
  <c r="H112" i="268"/>
  <c r="E110" i="432"/>
  <c r="H110" i="432" s="1"/>
  <c r="H49" i="268"/>
  <c r="B16" i="404" s="1"/>
  <c r="U13" i="501" s="1"/>
  <c r="V13" i="501" s="1"/>
  <c r="E49" i="432"/>
  <c r="H49" i="432" s="1"/>
  <c r="H52" i="268"/>
  <c r="B10" i="404" s="1"/>
  <c r="U9" i="501" s="1"/>
  <c r="V9" i="501" s="1"/>
  <c r="E52" i="432"/>
  <c r="H52" i="432" s="1"/>
  <c r="H54" i="268"/>
  <c r="E54" i="432"/>
  <c r="H54" i="432" s="1"/>
  <c r="H22" i="268"/>
  <c r="E22" i="432"/>
  <c r="H22" i="432" s="1"/>
  <c r="H116" i="268"/>
  <c r="C9" i="281" s="1"/>
  <c r="C72" i="273" s="1"/>
  <c r="E114" i="432"/>
  <c r="H114" i="432" s="1"/>
  <c r="H16" i="268"/>
  <c r="B4" i="404" s="1"/>
  <c r="U3" i="501" s="1"/>
  <c r="V3" i="501" s="1"/>
  <c r="E16" i="432"/>
  <c r="H16" i="432" s="1"/>
  <c r="H101" i="268"/>
  <c r="E99" i="432"/>
  <c r="H55" i="268"/>
  <c r="C24" i="280" s="1"/>
  <c r="C41" i="273" s="1"/>
  <c r="E55" i="432"/>
  <c r="H55" i="432" s="1"/>
  <c r="H205" i="268"/>
  <c r="E203" i="432"/>
  <c r="H203" i="432" s="1"/>
  <c r="H114" i="268"/>
  <c r="E112" i="432"/>
  <c r="H112" i="432" s="1"/>
  <c r="H35" i="268"/>
  <c r="C23" i="288" s="1"/>
  <c r="E35" i="432"/>
  <c r="H127" i="268"/>
  <c r="K359" i="502" s="1"/>
  <c r="E125" i="432"/>
  <c r="H125" i="432" s="1"/>
  <c r="H48" i="268"/>
  <c r="E48" i="432"/>
  <c r="H48" i="432" s="1"/>
  <c r="H27" i="268"/>
  <c r="E27" i="432"/>
  <c r="H27" i="432" s="1"/>
  <c r="H132" i="268"/>
  <c r="E130" i="432"/>
  <c r="H130" i="432" s="1"/>
  <c r="H68" i="268"/>
  <c r="E68" i="432"/>
  <c r="H110" i="268"/>
  <c r="E108" i="432"/>
  <c r="H47" i="268"/>
  <c r="E47" i="432"/>
  <c r="H47" i="432" s="1"/>
  <c r="H98" i="268"/>
  <c r="B26" i="404" s="1"/>
  <c r="U23" i="501" s="1"/>
  <c r="V23" i="501" s="1"/>
  <c r="E96" i="432"/>
  <c r="H96" i="432" s="1"/>
  <c r="H41" i="268"/>
  <c r="E41" i="432"/>
  <c r="H41" i="432" s="1"/>
  <c r="E215" i="268"/>
  <c r="E213" i="432" s="1"/>
  <c r="E214" i="432"/>
  <c r="K221" i="502"/>
  <c r="K3" i="502"/>
  <c r="K91" i="502"/>
  <c r="H178" i="432"/>
  <c r="K92" i="502"/>
  <c r="H215" i="432"/>
  <c r="H86" i="266"/>
  <c r="H88" i="266" s="1"/>
  <c r="B42" i="280" s="1"/>
  <c r="B55" i="273" s="1"/>
  <c r="E88" i="266"/>
  <c r="D194" i="288"/>
  <c r="E194" i="288" s="1"/>
  <c r="P13" i="501"/>
  <c r="A13" i="501" s="1"/>
  <c r="P8" i="501"/>
  <c r="P9" i="501"/>
  <c r="P27" i="500"/>
  <c r="A27" i="500" s="1"/>
  <c r="P23" i="500"/>
  <c r="A23" i="500" s="1"/>
  <c r="P24" i="500"/>
  <c r="A24" i="500" s="1"/>
  <c r="P19" i="500"/>
  <c r="A19" i="500" s="1"/>
  <c r="P18" i="500"/>
  <c r="A18" i="500" s="1"/>
  <c r="P7" i="500"/>
  <c r="A7" i="500" s="1"/>
  <c r="P10" i="500"/>
  <c r="A10" i="500" s="1"/>
  <c r="P2" i="501"/>
  <c r="P8" i="500"/>
  <c r="A8" i="500" s="1"/>
  <c r="A2" i="500"/>
  <c r="P9" i="500"/>
  <c r="A9" i="500" s="1"/>
  <c r="H82" i="432"/>
  <c r="E99" i="268"/>
  <c r="E97" i="432" s="1"/>
  <c r="H221" i="432"/>
  <c r="C89" i="288"/>
  <c r="B139" i="288"/>
  <c r="H182" i="432"/>
  <c r="B168" i="288"/>
  <c r="B132" i="288"/>
  <c r="H173" i="432"/>
  <c r="H140" i="432"/>
  <c r="B157" i="288"/>
  <c r="H200" i="432"/>
  <c r="B131" i="288"/>
  <c r="H172" i="432"/>
  <c r="E25" i="268"/>
  <c r="E25" i="432" s="1"/>
  <c r="B33" i="288"/>
  <c r="B69" i="288"/>
  <c r="B68" i="288"/>
  <c r="B110" i="288"/>
  <c r="H156" i="432"/>
  <c r="H251" i="432"/>
  <c r="B117" i="288"/>
  <c r="B19" i="288"/>
  <c r="B88" i="288"/>
  <c r="H139" i="432"/>
  <c r="B38" i="288"/>
  <c r="H154" i="432"/>
  <c r="B66" i="288"/>
  <c r="B84" i="288"/>
  <c r="H135" i="432"/>
  <c r="H242" i="432"/>
  <c r="H187" i="432"/>
  <c r="B122" i="288"/>
  <c r="H162" i="432"/>
  <c r="B15" i="288"/>
  <c r="B21" i="288"/>
  <c r="B138" i="288"/>
  <c r="H181" i="432"/>
  <c r="M30" i="404"/>
  <c r="B57" i="288"/>
  <c r="H196" i="432"/>
  <c r="B140" i="288"/>
  <c r="H183" i="432"/>
  <c r="B136" i="288"/>
  <c r="H179" i="432"/>
  <c r="B112" i="288"/>
  <c r="H158" i="432"/>
  <c r="B142" i="288"/>
  <c r="H185" i="432"/>
  <c r="B77" i="288"/>
  <c r="B18" i="288"/>
  <c r="B125" i="288"/>
  <c r="H165" i="432"/>
  <c r="H160" i="432"/>
  <c r="B78" i="288"/>
  <c r="B8" i="288"/>
  <c r="B67" i="288"/>
  <c r="M5" i="404"/>
  <c r="H24" i="432"/>
  <c r="B28" i="288"/>
  <c r="B95" i="288"/>
  <c r="B17" i="288"/>
  <c r="M23" i="286"/>
  <c r="O23" i="286" s="1"/>
  <c r="H247" i="432"/>
  <c r="B133" i="288"/>
  <c r="H174" i="432"/>
  <c r="M20" i="286"/>
  <c r="O20" i="286" s="1"/>
  <c r="H250" i="432"/>
  <c r="H197" i="432"/>
  <c r="B137" i="288"/>
  <c r="H180" i="432"/>
  <c r="B58" i="288"/>
  <c r="B9" i="288"/>
  <c r="B44" i="288"/>
  <c r="H189" i="432"/>
  <c r="M22" i="286"/>
  <c r="O22" i="286" s="1"/>
  <c r="H246" i="432"/>
  <c r="B87" i="288"/>
  <c r="H138" i="432"/>
  <c r="M21" i="286"/>
  <c r="O21" i="286" s="1"/>
  <c r="H245" i="432"/>
  <c r="E178" i="268"/>
  <c r="E74" i="268"/>
  <c r="E74" i="432" s="1"/>
  <c r="M6" i="404"/>
  <c r="B109" i="288"/>
  <c r="H155" i="432"/>
  <c r="B141" i="288"/>
  <c r="H184" i="432"/>
  <c r="B158" i="288"/>
  <c r="H195" i="432"/>
  <c r="E80" i="268"/>
  <c r="E80" i="432" s="1"/>
  <c r="H240" i="268"/>
  <c r="H242" i="268" s="1"/>
  <c r="H72" i="268"/>
  <c r="H180" i="268"/>
  <c r="G203" i="266"/>
  <c r="G206" i="266" s="1"/>
  <c r="G243" i="266" s="1"/>
  <c r="G250" i="266" s="1"/>
  <c r="G255" i="266" s="1"/>
  <c r="E14" i="268"/>
  <c r="E14" i="432" s="1"/>
  <c r="E171" i="268"/>
  <c r="E84" i="268"/>
  <c r="E84" i="432" s="1"/>
  <c r="E71" i="268"/>
  <c r="E71" i="432" s="1"/>
  <c r="F153" i="266"/>
  <c r="F169" i="266" s="1"/>
  <c r="E103" i="268"/>
  <c r="E101" i="432" s="1"/>
  <c r="E31" i="268"/>
  <c r="E31" i="432" s="1"/>
  <c r="H97" i="268"/>
  <c r="G57" i="266"/>
  <c r="G153" i="268"/>
  <c r="G169" i="268" s="1"/>
  <c r="H24" i="268"/>
  <c r="E3" i="268"/>
  <c r="E3" i="432" s="1"/>
  <c r="F57" i="266"/>
  <c r="M26" i="404"/>
  <c r="M3" i="404"/>
  <c r="F57" i="268"/>
  <c r="M8" i="404"/>
  <c r="E17" i="268"/>
  <c r="E17" i="432" s="1"/>
  <c r="E53" i="268"/>
  <c r="E53" i="432" s="1"/>
  <c r="E95" i="268"/>
  <c r="E93" i="432" s="1"/>
  <c r="C258" i="288"/>
  <c r="C60" i="283"/>
  <c r="M10" i="404"/>
  <c r="E34" i="268"/>
  <c r="M4" i="404"/>
  <c r="H82" i="268"/>
  <c r="M11" i="404"/>
  <c r="M9" i="404"/>
  <c r="F107" i="268"/>
  <c r="G203" i="268"/>
  <c r="G206" i="268" s="1"/>
  <c r="G243" i="268" s="1"/>
  <c r="G250" i="268" s="1"/>
  <c r="G255" i="268" s="1"/>
  <c r="H216" i="268"/>
  <c r="H8" i="287" s="1"/>
  <c r="H7" i="287" s="1"/>
  <c r="M20" i="404"/>
  <c r="M16" i="404"/>
  <c r="M27" i="404"/>
  <c r="E135" i="268"/>
  <c r="E133" i="432" s="1"/>
  <c r="G57" i="268"/>
  <c r="E28" i="268"/>
  <c r="E28" i="432" s="1"/>
  <c r="H26" i="268"/>
  <c r="E66" i="268"/>
  <c r="E66" i="432" s="1"/>
  <c r="E62" i="268"/>
  <c r="E62" i="432" s="1"/>
  <c r="B57" i="282"/>
  <c r="B184" i="288" s="1"/>
  <c r="B185" i="288"/>
  <c r="D185" i="288" s="1"/>
  <c r="E185" i="288" s="1"/>
  <c r="B179" i="288"/>
  <c r="B51" i="282"/>
  <c r="H216" i="266"/>
  <c r="H8" i="286" s="1"/>
  <c r="M22" i="404"/>
  <c r="M7" i="404"/>
  <c r="G107" i="268"/>
  <c r="M21" i="404"/>
  <c r="E28" i="266"/>
  <c r="H26" i="266"/>
  <c r="B24" i="288"/>
  <c r="F107" i="266"/>
  <c r="C160" i="288"/>
  <c r="F153" i="268"/>
  <c r="F169" i="268" s="1"/>
  <c r="C179" i="288"/>
  <c r="C51" i="282"/>
  <c r="C147" i="288"/>
  <c r="C144" i="288"/>
  <c r="C115" i="288"/>
  <c r="M23" i="287"/>
  <c r="O23" i="287" s="1"/>
  <c r="M21" i="287"/>
  <c r="O21" i="287" s="1"/>
  <c r="C108" i="288"/>
  <c r="F203" i="268"/>
  <c r="F206" i="268" s="1"/>
  <c r="G107" i="266"/>
  <c r="G153" i="266"/>
  <c r="G169" i="266" s="1"/>
  <c r="F203" i="266"/>
  <c r="F206" i="266" s="1"/>
  <c r="F234" i="266" s="1"/>
  <c r="H72" i="266"/>
  <c r="E74" i="266"/>
  <c r="H64" i="266"/>
  <c r="E66" i="266"/>
  <c r="H138" i="266"/>
  <c r="B33" i="281" s="1"/>
  <c r="B94" i="273" s="1"/>
  <c r="H110" i="266"/>
  <c r="E135" i="266"/>
  <c r="H23" i="266"/>
  <c r="E25" i="266"/>
  <c r="H96" i="266"/>
  <c r="E99" i="266"/>
  <c r="H29" i="266"/>
  <c r="K218" i="502" s="1"/>
  <c r="E31" i="266"/>
  <c r="E53" i="266"/>
  <c r="H51" i="266"/>
  <c r="H155" i="266"/>
  <c r="B50" i="281" s="1"/>
  <c r="H77" i="266"/>
  <c r="E80" i="266"/>
  <c r="H35" i="266"/>
  <c r="E34" i="266"/>
  <c r="E50" i="266" s="1"/>
  <c r="H68" i="266"/>
  <c r="E71" i="266"/>
  <c r="H178" i="266"/>
  <c r="B8" i="282" s="1"/>
  <c r="B140" i="273" s="1"/>
  <c r="E95" i="266"/>
  <c r="H92" i="266"/>
  <c r="H15" i="266"/>
  <c r="E17" i="266"/>
  <c r="E178" i="266"/>
  <c r="E177" i="266" s="1"/>
  <c r="H101" i="266"/>
  <c r="E103" i="266"/>
  <c r="E171" i="266"/>
  <c r="H171" i="266" s="1"/>
  <c r="B3" i="282" s="1"/>
  <c r="H172" i="266"/>
  <c r="H59" i="266"/>
  <c r="B28" i="280" s="1"/>
  <c r="E84" i="266"/>
  <c r="H81" i="266"/>
  <c r="E146" i="266"/>
  <c r="E152" i="266" s="1"/>
  <c r="H144" i="266"/>
  <c r="H60" i="266"/>
  <c r="E62" i="266"/>
  <c r="E242" i="266"/>
  <c r="H240" i="266"/>
  <c r="E14" i="266"/>
  <c r="H12" i="266"/>
  <c r="K13" i="502" s="1"/>
  <c r="E3" i="266"/>
  <c r="H4" i="266"/>
  <c r="B134" i="273" l="1"/>
  <c r="B135" i="273"/>
  <c r="C12" i="288"/>
  <c r="C11" i="288"/>
  <c r="C153" i="288"/>
  <c r="M19" i="286"/>
  <c r="O19" i="286" s="1"/>
  <c r="J18" i="287"/>
  <c r="J17" i="287" s="1"/>
  <c r="H3" i="268"/>
  <c r="C3" i="280" s="1"/>
  <c r="C19" i="273" s="1"/>
  <c r="C95" i="288"/>
  <c r="C10" i="288"/>
  <c r="C70" i="394"/>
  <c r="H62" i="268"/>
  <c r="H31" i="268"/>
  <c r="B2" i="400"/>
  <c r="C44" i="288"/>
  <c r="H53" i="268"/>
  <c r="L10" i="404"/>
  <c r="W9" i="501" s="1"/>
  <c r="X9" i="501" s="1"/>
  <c r="C91" i="288"/>
  <c r="C102" i="288"/>
  <c r="C47" i="288"/>
  <c r="C92" i="288"/>
  <c r="D184" i="288"/>
  <c r="E184" i="288" s="1"/>
  <c r="C39" i="288"/>
  <c r="C145" i="288"/>
  <c r="C81" i="288"/>
  <c r="H14" i="268"/>
  <c r="C9" i="280" s="1"/>
  <c r="C23" i="273" s="1"/>
  <c r="B147" i="288"/>
  <c r="D147" i="288" s="1"/>
  <c r="E147" i="288" s="1"/>
  <c r="L30" i="404"/>
  <c r="W27" i="501" s="1"/>
  <c r="C80" i="288"/>
  <c r="B52" i="399"/>
  <c r="B53" i="399" s="1"/>
  <c r="H25" i="268"/>
  <c r="C15" i="288"/>
  <c r="D15" i="288" s="1"/>
  <c r="E15" i="288" s="1"/>
  <c r="C168" i="288"/>
  <c r="D168" i="288" s="1"/>
  <c r="E168" i="288" s="1"/>
  <c r="L27" i="404"/>
  <c r="W24" i="501" s="1"/>
  <c r="B16" i="288"/>
  <c r="C35" i="288"/>
  <c r="C148" i="288"/>
  <c r="H74" i="268"/>
  <c r="C34" i="280" s="1"/>
  <c r="C49" i="273" s="1"/>
  <c r="H35" i="432"/>
  <c r="H34" i="432" s="1"/>
  <c r="H50" i="432" s="1"/>
  <c r="L21" i="404"/>
  <c r="W18" i="501" s="1"/>
  <c r="C2" i="232"/>
  <c r="C4" i="232" s="1"/>
  <c r="H103" i="268"/>
  <c r="C48" i="280" s="1"/>
  <c r="C62" i="273" s="1"/>
  <c r="C49" i="288"/>
  <c r="H28" i="268"/>
  <c r="C23" i="281"/>
  <c r="C87" i="273" s="1"/>
  <c r="D112" i="288"/>
  <c r="E112" i="288" s="1"/>
  <c r="M20" i="287"/>
  <c r="O20" i="287" s="1"/>
  <c r="C27" i="288"/>
  <c r="L9" i="404"/>
  <c r="W8" i="501" s="1"/>
  <c r="X8" i="501" s="1"/>
  <c r="H4" i="432"/>
  <c r="H3" i="432" s="1"/>
  <c r="B3" i="261"/>
  <c r="D139" i="288"/>
  <c r="E139" i="288" s="1"/>
  <c r="K15" i="502"/>
  <c r="C4" i="64"/>
  <c r="C5" i="64"/>
  <c r="C3" i="64"/>
  <c r="C2" i="64"/>
  <c r="C6" i="64"/>
  <c r="C7" i="64"/>
  <c r="D158" i="288"/>
  <c r="E158" i="288" s="1"/>
  <c r="D88" i="288"/>
  <c r="E88" i="288" s="1"/>
  <c r="B36" i="283"/>
  <c r="B43" i="283" s="1"/>
  <c r="C3" i="281"/>
  <c r="C66" i="273" s="1"/>
  <c r="C39" i="282"/>
  <c r="C171" i="273" s="1"/>
  <c r="C14" i="280"/>
  <c r="C18" i="288" s="1"/>
  <c r="D18" i="288" s="1"/>
  <c r="E18" i="288" s="1"/>
  <c r="C16" i="282"/>
  <c r="C148" i="273" s="1"/>
  <c r="C30" i="280"/>
  <c r="C45" i="273" s="1"/>
  <c r="C11" i="258"/>
  <c r="C167" i="273"/>
  <c r="C5" i="280"/>
  <c r="C9" i="288" s="1"/>
  <c r="D9" i="288" s="1"/>
  <c r="E9" i="288" s="1"/>
  <c r="C42" i="280"/>
  <c r="C55" i="273" s="1"/>
  <c r="C22" i="280"/>
  <c r="C39" i="273" s="1"/>
  <c r="C94" i="288"/>
  <c r="D136" i="288"/>
  <c r="E136" i="288" s="1"/>
  <c r="C28" i="280"/>
  <c r="C31" i="288" s="1"/>
  <c r="C51" i="280"/>
  <c r="C65" i="273" s="1"/>
  <c r="C25" i="281"/>
  <c r="C77" i="288" s="1"/>
  <c r="D77" i="288" s="1"/>
  <c r="E77" i="288" s="1"/>
  <c r="C2" i="504"/>
  <c r="C6" i="504" s="1"/>
  <c r="C2" i="261"/>
  <c r="B59" i="283"/>
  <c r="B3" i="504" s="1"/>
  <c r="D137" i="288"/>
  <c r="E137" i="288" s="1"/>
  <c r="H146" i="268"/>
  <c r="C38" i="281" s="1"/>
  <c r="C99" i="273" s="1"/>
  <c r="K108" i="502"/>
  <c r="C10" i="281"/>
  <c r="C73" i="273" s="1"/>
  <c r="B16" i="258"/>
  <c r="B2" i="401" s="1"/>
  <c r="C64" i="273"/>
  <c r="C33" i="281"/>
  <c r="D142" i="288"/>
  <c r="E142" i="288" s="1"/>
  <c r="D140" i="288"/>
  <c r="E140" i="288" s="1"/>
  <c r="D131" i="288"/>
  <c r="E131" i="288" s="1"/>
  <c r="C34" i="281"/>
  <c r="C95" i="273" s="1"/>
  <c r="C16" i="281"/>
  <c r="C69" i="288" s="1"/>
  <c r="D69" i="288" s="1"/>
  <c r="E69" i="288" s="1"/>
  <c r="C14" i="281"/>
  <c r="C67" i="288" s="1"/>
  <c r="D67" i="288" s="1"/>
  <c r="E67" i="288" s="1"/>
  <c r="H60" i="432"/>
  <c r="H62" i="432" s="1"/>
  <c r="B29" i="280"/>
  <c r="B44" i="273" s="1"/>
  <c r="B3" i="281"/>
  <c r="B66" i="273" s="1"/>
  <c r="D141" i="288"/>
  <c r="E141" i="288" s="1"/>
  <c r="D138" i="288"/>
  <c r="E138" i="288" s="1"/>
  <c r="D132" i="288"/>
  <c r="E132" i="288" s="1"/>
  <c r="C27" i="281"/>
  <c r="C90" i="273" s="1"/>
  <c r="C4" i="280"/>
  <c r="C8" i="288" s="1"/>
  <c r="D8" i="288" s="1"/>
  <c r="E8" i="288" s="1"/>
  <c r="K107" i="502"/>
  <c r="C12" i="280"/>
  <c r="C30" i="273" s="1"/>
  <c r="C159" i="288"/>
  <c r="M22" i="287"/>
  <c r="O22" i="287" s="1"/>
  <c r="B11" i="258"/>
  <c r="B167" i="273"/>
  <c r="C122" i="288"/>
  <c r="D122" i="288" s="1"/>
  <c r="E122" i="288" s="1"/>
  <c r="B17" i="258"/>
  <c r="B3" i="401" s="1"/>
  <c r="B5" i="401" s="1"/>
  <c r="D133" i="288"/>
  <c r="E133" i="288" s="1"/>
  <c r="D157" i="288"/>
  <c r="E157" i="288" s="1"/>
  <c r="C5" i="281"/>
  <c r="C58" i="288" s="1"/>
  <c r="D58" i="288" s="1"/>
  <c r="E58" i="288" s="1"/>
  <c r="C118" i="273"/>
  <c r="K53" i="502"/>
  <c r="K83" i="502" s="1"/>
  <c r="B16" i="283" s="1"/>
  <c r="B216" i="288" s="1"/>
  <c r="D216" i="288" s="1"/>
  <c r="E216" i="288" s="1"/>
  <c r="C41" i="281"/>
  <c r="C102" i="273" s="1"/>
  <c r="C13" i="280"/>
  <c r="C17" i="288" s="1"/>
  <c r="D17" i="288" s="1"/>
  <c r="E17" i="288" s="1"/>
  <c r="C3" i="258"/>
  <c r="C166" i="273"/>
  <c r="C15" i="280"/>
  <c r="C19" i="288" s="1"/>
  <c r="D19" i="288" s="1"/>
  <c r="E19" i="288" s="1"/>
  <c r="B2" i="231"/>
  <c r="C64" i="281"/>
  <c r="C116" i="288" s="1"/>
  <c r="C111" i="288"/>
  <c r="C65" i="288"/>
  <c r="H99" i="268"/>
  <c r="L22" i="404"/>
  <c r="W19" i="501" s="1"/>
  <c r="D109" i="288"/>
  <c r="E109" i="288" s="1"/>
  <c r="D87" i="288"/>
  <c r="E87" i="288" s="1"/>
  <c r="M19" i="287"/>
  <c r="O19" i="287" s="1"/>
  <c r="C7" i="281"/>
  <c r="C70" i="273" s="1"/>
  <c r="C13" i="281"/>
  <c r="C66" i="288" s="1"/>
  <c r="D66" i="288" s="1"/>
  <c r="E66" i="288" s="1"/>
  <c r="C26" i="281"/>
  <c r="C78" i="288" s="1"/>
  <c r="D78" i="288" s="1"/>
  <c r="E78" i="288" s="1"/>
  <c r="C17" i="281"/>
  <c r="C81" i="273" s="1"/>
  <c r="C27" i="282"/>
  <c r="C159" i="273" s="1"/>
  <c r="C18" i="280"/>
  <c r="C21" i="288" s="1"/>
  <c r="D21" i="288" s="1"/>
  <c r="E21" i="288" s="1"/>
  <c r="C120" i="273"/>
  <c r="C110" i="288"/>
  <c r="D110" i="288" s="1"/>
  <c r="E110" i="288" s="1"/>
  <c r="B75" i="273"/>
  <c r="B74" i="273"/>
  <c r="C125" i="288"/>
  <c r="D125" i="288" s="1"/>
  <c r="E125" i="288" s="1"/>
  <c r="C23" i="280"/>
  <c r="C26" i="288" s="1"/>
  <c r="C15" i="281"/>
  <c r="C68" i="288" s="1"/>
  <c r="D68" i="288" s="1"/>
  <c r="E68" i="288" s="1"/>
  <c r="K17" i="502"/>
  <c r="C11" i="281"/>
  <c r="C43" i="394" s="1"/>
  <c r="C62" i="288"/>
  <c r="C38" i="394"/>
  <c r="L3" i="404"/>
  <c r="W2" i="501" s="1"/>
  <c r="X2" i="501" s="1"/>
  <c r="L8" i="404"/>
  <c r="W7" i="501" s="1"/>
  <c r="C73" i="394"/>
  <c r="H95" i="268"/>
  <c r="L16" i="404"/>
  <c r="W13" i="501" s="1"/>
  <c r="X13" i="501" s="1"/>
  <c r="L26" i="404"/>
  <c r="W23" i="501" s="1"/>
  <c r="C117" i="288"/>
  <c r="D117" i="288" s="1"/>
  <c r="E117" i="288" s="1"/>
  <c r="C43" i="288"/>
  <c r="H66" i="268"/>
  <c r="C164" i="288"/>
  <c r="H176" i="432"/>
  <c r="H175" i="432" s="1"/>
  <c r="H34" i="268"/>
  <c r="K97" i="502" s="1"/>
  <c r="C38" i="288"/>
  <c r="D38" i="288" s="1"/>
  <c r="E38" i="288" s="1"/>
  <c r="H71" i="268"/>
  <c r="C33" i="280" s="1"/>
  <c r="C48" i="273" s="1"/>
  <c r="H80" i="268"/>
  <c r="C28" i="288"/>
  <c r="D28" i="288" s="1"/>
  <c r="E28" i="288" s="1"/>
  <c r="H17" i="268"/>
  <c r="C10" i="280" s="1"/>
  <c r="C14" i="288" s="1"/>
  <c r="L11" i="404"/>
  <c r="W10" i="501" s="1"/>
  <c r="H135" i="268"/>
  <c r="E50" i="268"/>
  <c r="E50" i="432" s="1"/>
  <c r="E34" i="432"/>
  <c r="C113" i="288"/>
  <c r="C44" i="394"/>
  <c r="C74" i="288"/>
  <c r="C161" i="288"/>
  <c r="E170" i="268"/>
  <c r="E168" i="432" s="1"/>
  <c r="E169" i="432"/>
  <c r="H169" i="432" s="1"/>
  <c r="E152" i="268"/>
  <c r="E150" i="432" s="1"/>
  <c r="E144" i="432"/>
  <c r="E177" i="268"/>
  <c r="E175" i="432" s="1"/>
  <c r="E176" i="432"/>
  <c r="D19" i="355"/>
  <c r="D15" i="355" s="1"/>
  <c r="H214" i="432"/>
  <c r="H213" i="432" s="1"/>
  <c r="C61" i="288"/>
  <c r="C62" i="394"/>
  <c r="C31" i="394"/>
  <c r="H170" i="432"/>
  <c r="K2" i="502"/>
  <c r="K365" i="502"/>
  <c r="B52" i="283" s="1"/>
  <c r="C59" i="288"/>
  <c r="H178" i="268"/>
  <c r="B22" i="392"/>
  <c r="B251" i="288"/>
  <c r="D251" i="288" s="1"/>
  <c r="E251" i="288" s="1"/>
  <c r="B232" i="288"/>
  <c r="D232" i="288" s="1"/>
  <c r="E232" i="288" s="1"/>
  <c r="C34" i="404"/>
  <c r="B94" i="288"/>
  <c r="C35" i="406"/>
  <c r="D35" i="406" s="1"/>
  <c r="B164" i="288"/>
  <c r="C35" i="404"/>
  <c r="H29" i="432"/>
  <c r="H31" i="432" s="1"/>
  <c r="E5" i="93"/>
  <c r="E2" i="93"/>
  <c r="E3" i="93"/>
  <c r="E4" i="93"/>
  <c r="E6" i="93"/>
  <c r="D57" i="288"/>
  <c r="E57" i="288" s="1"/>
  <c r="P17" i="501"/>
  <c r="A17" i="501" s="1"/>
  <c r="U17" i="501"/>
  <c r="V17" i="501" s="1"/>
  <c r="A2" i="501"/>
  <c r="A9" i="501"/>
  <c r="A8" i="501"/>
  <c r="B15" i="404"/>
  <c r="L20" i="404"/>
  <c r="W17" i="501" s="1"/>
  <c r="P3" i="500"/>
  <c r="A3" i="500" s="1"/>
  <c r="P3" i="501"/>
  <c r="P7" i="501"/>
  <c r="P23" i="501"/>
  <c r="P6" i="501"/>
  <c r="P18" i="501"/>
  <c r="P27" i="501"/>
  <c r="P19" i="501"/>
  <c r="P10" i="501"/>
  <c r="P24" i="501"/>
  <c r="P6" i="500"/>
  <c r="A6" i="500" s="1"/>
  <c r="P13" i="500"/>
  <c r="A13" i="500" s="1"/>
  <c r="B27" i="288"/>
  <c r="H84" i="268"/>
  <c r="C38" i="280" s="1"/>
  <c r="C54" i="273" s="1"/>
  <c r="B26" i="288"/>
  <c r="B145" i="288"/>
  <c r="B60" i="288"/>
  <c r="B10" i="288"/>
  <c r="B79" i="288"/>
  <c r="B51" i="288"/>
  <c r="B50" i="288"/>
  <c r="D50" i="288" s="1"/>
  <c r="E50" i="288" s="1"/>
  <c r="B89" i="288"/>
  <c r="D89" i="288" s="1"/>
  <c r="E89" i="288" s="1"/>
  <c r="H215" i="268"/>
  <c r="B39" i="288"/>
  <c r="G108" i="268"/>
  <c r="B81" i="288"/>
  <c r="B76" i="288"/>
  <c r="B86" i="288"/>
  <c r="B143" i="288"/>
  <c r="B93" i="288"/>
  <c r="B161" i="288"/>
  <c r="B47" i="288"/>
  <c r="B59" i="288"/>
  <c r="B14" i="392"/>
  <c r="B4" i="400"/>
  <c r="B92" i="288"/>
  <c r="B80" i="288"/>
  <c r="C23" i="406"/>
  <c r="E23" i="406" s="1"/>
  <c r="B17" i="403" s="1"/>
  <c r="G234" i="268"/>
  <c r="B148" i="288"/>
  <c r="B11" i="288"/>
  <c r="D11" i="288" s="1"/>
  <c r="E11" i="288" s="1"/>
  <c r="F108" i="266"/>
  <c r="B37" i="399"/>
  <c r="B47" i="399" s="1"/>
  <c r="B48" i="399" s="1"/>
  <c r="B162" i="288"/>
  <c r="D162" i="288" s="1"/>
  <c r="E162" i="288" s="1"/>
  <c r="B144" i="288"/>
  <c r="D144" i="288" s="1"/>
  <c r="E144" i="288" s="1"/>
  <c r="C24" i="406"/>
  <c r="E24" i="406" s="1"/>
  <c r="B18" i="403" s="1"/>
  <c r="C55" i="281"/>
  <c r="B108" i="288"/>
  <c r="D108" i="288" s="1"/>
  <c r="E108" i="288" s="1"/>
  <c r="B166" i="288"/>
  <c r="B159" i="288"/>
  <c r="B35" i="288"/>
  <c r="B111" i="288"/>
  <c r="G234" i="266"/>
  <c r="B116" i="288"/>
  <c r="B62" i="288"/>
  <c r="J18" i="286"/>
  <c r="J17" i="286" s="1"/>
  <c r="B63" i="288"/>
  <c r="H171" i="268"/>
  <c r="B113" i="288"/>
  <c r="B12" i="288"/>
  <c r="B64" i="288"/>
  <c r="B61" i="288"/>
  <c r="B74" i="288"/>
  <c r="B91" i="288"/>
  <c r="B70" i="288"/>
  <c r="G108" i="266"/>
  <c r="B43" i="288"/>
  <c r="B49" i="288"/>
  <c r="B65" i="288"/>
  <c r="G214" i="268"/>
  <c r="G236" i="268" s="1"/>
  <c r="D179" i="288"/>
  <c r="E179" i="288" s="1"/>
  <c r="B154" i="288"/>
  <c r="B153" i="288"/>
  <c r="B2" i="406"/>
  <c r="D17" i="406" s="1"/>
  <c r="E17" i="406" s="1"/>
  <c r="B11" i="403" s="1"/>
  <c r="B7" i="251" s="1"/>
  <c r="H135" i="266"/>
  <c r="H108" i="432"/>
  <c r="H133" i="432" s="1"/>
  <c r="H146" i="266"/>
  <c r="H142" i="432"/>
  <c r="H144" i="432" s="1"/>
  <c r="H71" i="266"/>
  <c r="B33" i="280" s="1"/>
  <c r="B48" i="273" s="1"/>
  <c r="H68" i="432"/>
  <c r="H71" i="432" s="1"/>
  <c r="H14" i="266"/>
  <c r="B9" i="280" s="1"/>
  <c r="B23" i="273" s="1"/>
  <c r="H12" i="432"/>
  <c r="H14" i="432" s="1"/>
  <c r="H84" i="266"/>
  <c r="B38" i="280" s="1"/>
  <c r="B54" i="273" s="1"/>
  <c r="H81" i="432"/>
  <c r="H84" i="432" s="1"/>
  <c r="H66" i="266"/>
  <c r="B31" i="280" s="1"/>
  <c r="B46" i="273" s="1"/>
  <c r="H64" i="432"/>
  <c r="H66" i="432" s="1"/>
  <c r="N10" i="404"/>
  <c r="H53" i="266"/>
  <c r="B22" i="280" s="1"/>
  <c r="B39" i="273" s="1"/>
  <c r="H51" i="432"/>
  <c r="H53" i="432" s="1"/>
  <c r="H103" i="266"/>
  <c r="B48" i="280" s="1"/>
  <c r="B62" i="273" s="1"/>
  <c r="H99" i="432"/>
  <c r="H101" i="432" s="1"/>
  <c r="B13" i="392"/>
  <c r="H136" i="432"/>
  <c r="C3" i="394"/>
  <c r="H15" i="432"/>
  <c r="H17" i="432" s="1"/>
  <c r="H99" i="266"/>
  <c r="B46" i="280" s="1"/>
  <c r="B59" i="273" s="1"/>
  <c r="H94" i="432"/>
  <c r="H97" i="432" s="1"/>
  <c r="H28" i="266"/>
  <c r="H26" i="432"/>
  <c r="H28" i="432" s="1"/>
  <c r="H238" i="432"/>
  <c r="H240" i="432" s="1"/>
  <c r="H59" i="432"/>
  <c r="H95" i="266"/>
  <c r="B45" i="280" s="1"/>
  <c r="B58" i="273" s="1"/>
  <c r="H90" i="432"/>
  <c r="H93" i="432" s="1"/>
  <c r="H80" i="266"/>
  <c r="B37" i="280" s="1"/>
  <c r="H77" i="432"/>
  <c r="H80" i="432" s="1"/>
  <c r="H74" i="266"/>
  <c r="B34" i="280" s="1"/>
  <c r="B49" i="273" s="1"/>
  <c r="H72" i="432"/>
  <c r="H74" i="432" s="1"/>
  <c r="D11" i="397"/>
  <c r="C19" i="355"/>
  <c r="C15" i="355" s="1"/>
  <c r="M25" i="286"/>
  <c r="O25" i="286" s="1"/>
  <c r="B102" i="288"/>
  <c r="H153" i="432"/>
  <c r="H25" i="266"/>
  <c r="H23" i="432"/>
  <c r="H25" i="432" s="1"/>
  <c r="B160" i="288"/>
  <c r="D160" i="288" s="1"/>
  <c r="E160" i="288" s="1"/>
  <c r="B115" i="288"/>
  <c r="D115" i="288" s="1"/>
  <c r="E115" i="288" s="1"/>
  <c r="B42" i="288"/>
  <c r="N21" i="404"/>
  <c r="D24" i="288"/>
  <c r="E24" i="288" s="1"/>
  <c r="B5" i="404"/>
  <c r="U4" i="501" s="1"/>
  <c r="V4" i="501" s="1"/>
  <c r="F108" i="268"/>
  <c r="D44" i="288"/>
  <c r="E44" i="288" s="1"/>
  <c r="E107" i="268"/>
  <c r="E105" i="432" s="1"/>
  <c r="L7" i="404"/>
  <c r="L4" i="404"/>
  <c r="D95" i="288"/>
  <c r="E95" i="288" s="1"/>
  <c r="B6" i="404"/>
  <c r="U5" i="501" s="1"/>
  <c r="V5" i="501" s="1"/>
  <c r="G214" i="266"/>
  <c r="G236" i="266" s="1"/>
  <c r="H215" i="266"/>
  <c r="H7" i="286"/>
  <c r="B178" i="288"/>
  <c r="B50" i="282"/>
  <c r="C260" i="288"/>
  <c r="C21" i="394"/>
  <c r="H62" i="266"/>
  <c r="H177" i="266"/>
  <c r="C7" i="394"/>
  <c r="E57" i="266"/>
  <c r="E153" i="266"/>
  <c r="H31" i="266"/>
  <c r="C13" i="394"/>
  <c r="E107" i="266"/>
  <c r="H3" i="266"/>
  <c r="B3" i="280" s="1"/>
  <c r="B19" i="273" s="1"/>
  <c r="H34" i="266"/>
  <c r="K96" i="502" s="1"/>
  <c r="B23" i="288"/>
  <c r="D23" i="288" s="1"/>
  <c r="E23" i="288" s="1"/>
  <c r="H17" i="266"/>
  <c r="B10" i="280" s="1"/>
  <c r="L18" i="286"/>
  <c r="L17" i="286" s="1"/>
  <c r="C178" i="288"/>
  <c r="C50" i="282"/>
  <c r="F243" i="268"/>
  <c r="F250" i="268" s="1"/>
  <c r="F255" i="268" s="1"/>
  <c r="F214" i="268"/>
  <c r="F236" i="268" s="1"/>
  <c r="F234" i="268"/>
  <c r="L18" i="287"/>
  <c r="L17" i="287" s="1"/>
  <c r="C84" i="288"/>
  <c r="D84" i="288" s="1"/>
  <c r="E84" i="288" s="1"/>
  <c r="C32" i="288"/>
  <c r="E170" i="266"/>
  <c r="E203" i="266" s="1"/>
  <c r="E206" i="266" s="1"/>
  <c r="E208" i="266" s="1"/>
  <c r="F243" i="266"/>
  <c r="F250" i="266" s="1"/>
  <c r="F255" i="266" s="1"/>
  <c r="F214" i="266"/>
  <c r="H170" i="266"/>
  <c r="H242" i="266"/>
  <c r="D153" i="288" l="1"/>
  <c r="E153" i="288" s="1"/>
  <c r="C37" i="288"/>
  <c r="D12" i="288"/>
  <c r="E12" i="288" s="1"/>
  <c r="D91" i="288"/>
  <c r="E91" i="288" s="1"/>
  <c r="C13" i="288"/>
  <c r="D47" i="288"/>
  <c r="E47" i="288" s="1"/>
  <c r="C48" i="288"/>
  <c r="D10" i="288"/>
  <c r="E10" i="288" s="1"/>
  <c r="N27" i="404"/>
  <c r="D148" i="288"/>
  <c r="E148" i="288" s="1"/>
  <c r="D145" i="288"/>
  <c r="E145" i="288" s="1"/>
  <c r="C7" i="288"/>
  <c r="D102" i="288"/>
  <c r="E102" i="288" s="1"/>
  <c r="D49" i="288"/>
  <c r="E49" i="288" s="1"/>
  <c r="D81" i="288"/>
  <c r="E81" i="288" s="1"/>
  <c r="D94" i="288"/>
  <c r="E94" i="288" s="1"/>
  <c r="D39" i="288"/>
  <c r="E39" i="288" s="1"/>
  <c r="C16" i="280"/>
  <c r="B30" i="281"/>
  <c r="B82" i="288" s="1"/>
  <c r="D80" i="288"/>
  <c r="E80" i="288" s="1"/>
  <c r="D92" i="288"/>
  <c r="E92" i="288" s="1"/>
  <c r="N30" i="404"/>
  <c r="N8" i="404"/>
  <c r="N11" i="404"/>
  <c r="D111" i="288"/>
  <c r="E111" i="288" s="1"/>
  <c r="D35" i="288"/>
  <c r="E35" i="288" s="1"/>
  <c r="N22" i="404"/>
  <c r="C65" i="394"/>
  <c r="C53" i="394"/>
  <c r="C76" i="288"/>
  <c r="D76" i="288" s="1"/>
  <c r="E76" i="288" s="1"/>
  <c r="C16" i="288"/>
  <c r="D16" i="288" s="1"/>
  <c r="E16" i="288" s="1"/>
  <c r="D61" i="288"/>
  <c r="E61" i="288" s="1"/>
  <c r="K130" i="502"/>
  <c r="B18" i="283" s="1"/>
  <c r="K84" i="502"/>
  <c r="K89" i="502" s="1"/>
  <c r="H152" i="268"/>
  <c r="H153" i="268" s="1"/>
  <c r="B3" i="392"/>
  <c r="D65" i="288"/>
  <c r="E65" i="288" s="1"/>
  <c r="N3" i="404"/>
  <c r="C63" i="288"/>
  <c r="D63" i="288" s="1"/>
  <c r="E63" i="288" s="1"/>
  <c r="C35" i="394"/>
  <c r="C86" i="288"/>
  <c r="D86" i="288" s="1"/>
  <c r="E86" i="288" s="1"/>
  <c r="C166" i="288"/>
  <c r="D166" i="288" s="1"/>
  <c r="E166" i="288" s="1"/>
  <c r="H168" i="432"/>
  <c r="H201" i="432" s="1"/>
  <c r="H204" i="432" s="1"/>
  <c r="H206" i="432" s="1"/>
  <c r="H241" i="432" s="1"/>
  <c r="H248" i="432" s="1"/>
  <c r="H253" i="432" s="1"/>
  <c r="H163" i="432" s="1"/>
  <c r="H164" i="432" s="1"/>
  <c r="H166" i="432" s="1"/>
  <c r="B5" i="392"/>
  <c r="C56" i="288"/>
  <c r="C49" i="394"/>
  <c r="C60" i="288"/>
  <c r="D60" i="288" s="1"/>
  <c r="E60" i="288" s="1"/>
  <c r="N16" i="404"/>
  <c r="B56" i="288"/>
  <c r="E203" i="268"/>
  <c r="E201" i="432" s="1"/>
  <c r="D62" i="288"/>
  <c r="E62" i="288" s="1"/>
  <c r="D27" i="288"/>
  <c r="E27" i="288" s="1"/>
  <c r="C30" i="281"/>
  <c r="C82" i="288" s="1"/>
  <c r="K31" i="502"/>
  <c r="B3" i="283" s="1"/>
  <c r="E57" i="268"/>
  <c r="E57" i="432" s="1"/>
  <c r="E153" i="268"/>
  <c r="E151" i="432" s="1"/>
  <c r="N9" i="404"/>
  <c r="C42" i="288"/>
  <c r="D42" i="288" s="1"/>
  <c r="E42" i="288" s="1"/>
  <c r="C154" i="288"/>
  <c r="D154" i="288" s="1"/>
  <c r="E154" i="288" s="1"/>
  <c r="N26" i="404"/>
  <c r="H50" i="268"/>
  <c r="D159" i="288"/>
  <c r="E159" i="288" s="1"/>
  <c r="D26" i="288"/>
  <c r="E26" i="288" s="1"/>
  <c r="C37" i="280"/>
  <c r="C45" i="280"/>
  <c r="C58" i="273" s="1"/>
  <c r="C3" i="282"/>
  <c r="C134" i="273" s="1"/>
  <c r="C31" i="280"/>
  <c r="C46" i="273" s="1"/>
  <c r="C46" i="280"/>
  <c r="C59" i="273" s="1"/>
  <c r="C94" i="273"/>
  <c r="C85" i="288"/>
  <c r="C51" i="288"/>
  <c r="D51" i="288" s="1"/>
  <c r="E51" i="288" s="1"/>
  <c r="C33" i="288"/>
  <c r="D33" i="288" s="1"/>
  <c r="E33" i="288" s="1"/>
  <c r="C113" i="273"/>
  <c r="C114" i="273"/>
  <c r="B12" i="392"/>
  <c r="B11" i="392" s="1"/>
  <c r="B4" i="392"/>
  <c r="C11" i="261"/>
  <c r="C176" i="273"/>
  <c r="C25" i="288"/>
  <c r="B53" i="273"/>
  <c r="B52" i="273"/>
  <c r="C75" i="273"/>
  <c r="C74" i="273"/>
  <c r="C143" i="288"/>
  <c r="D143" i="288" s="1"/>
  <c r="E143" i="288" s="1"/>
  <c r="H152" i="266"/>
  <c r="H153" i="266" s="1"/>
  <c r="B38" i="281"/>
  <c r="B99" i="273" s="1"/>
  <c r="C79" i="288"/>
  <c r="D79" i="288" s="1"/>
  <c r="E79" i="288" s="1"/>
  <c r="B24" i="273"/>
  <c r="C24" i="273"/>
  <c r="C70" i="288"/>
  <c r="D70" i="288" s="1"/>
  <c r="E70" i="288" s="1"/>
  <c r="E2" i="231"/>
  <c r="E7" i="231" s="1"/>
  <c r="B123" i="273" s="1"/>
  <c r="B7" i="231"/>
  <c r="C123" i="273" s="1"/>
  <c r="B16" i="280"/>
  <c r="B34" i="273" s="1"/>
  <c r="X17" i="501"/>
  <c r="H177" i="268"/>
  <c r="C8" i="282"/>
  <c r="C140" i="273" s="1"/>
  <c r="C64" i="288"/>
  <c r="D64" i="288" s="1"/>
  <c r="E64" i="288" s="1"/>
  <c r="D161" i="288"/>
  <c r="E161" i="288" s="1"/>
  <c r="D113" i="288"/>
  <c r="E113" i="288" s="1"/>
  <c r="D43" i="288"/>
  <c r="E43" i="288" s="1"/>
  <c r="D164" i="288"/>
  <c r="E164" i="288" s="1"/>
  <c r="X23" i="501"/>
  <c r="C36" i="288"/>
  <c r="D74" i="288"/>
  <c r="E74" i="288" s="1"/>
  <c r="B5" i="400"/>
  <c r="B9" i="400" s="1"/>
  <c r="C93" i="288"/>
  <c r="D93" i="288" s="1"/>
  <c r="E93" i="288" s="1"/>
  <c r="D116" i="288"/>
  <c r="E116" i="288" s="1"/>
  <c r="E35" i="406"/>
  <c r="B29" i="403" s="1"/>
  <c r="C36" i="404"/>
  <c r="D59" i="288"/>
  <c r="E59" i="288" s="1"/>
  <c r="B55" i="283"/>
  <c r="B56" i="283" s="1"/>
  <c r="B252" i="288"/>
  <c r="D252" i="288" s="1"/>
  <c r="E252" i="288" s="1"/>
  <c r="B243" i="288"/>
  <c r="D243" i="288" s="1"/>
  <c r="E243" i="288" s="1"/>
  <c r="B236" i="288"/>
  <c r="D236" i="288" s="1"/>
  <c r="E236" i="288" s="1"/>
  <c r="B259" i="288"/>
  <c r="D259" i="288" s="1"/>
  <c r="E259" i="288" s="1"/>
  <c r="E7" i="93"/>
  <c r="B31" i="288"/>
  <c r="D31" i="288" s="1"/>
  <c r="E31" i="288" s="1"/>
  <c r="N4" i="404"/>
  <c r="W3" i="501"/>
  <c r="X3" i="501" s="1"/>
  <c r="L15" i="404"/>
  <c r="N7" i="404"/>
  <c r="W6" i="501"/>
  <c r="X6" i="501" s="1"/>
  <c r="N20" i="404"/>
  <c r="A23" i="501"/>
  <c r="A6" i="501"/>
  <c r="A24" i="501"/>
  <c r="X24" i="501"/>
  <c r="A7" i="501"/>
  <c r="X7" i="501"/>
  <c r="A10" i="501"/>
  <c r="X10" i="501"/>
  <c r="A3" i="501"/>
  <c r="A19" i="501"/>
  <c r="X19" i="501"/>
  <c r="A27" i="501"/>
  <c r="X27" i="501"/>
  <c r="A18" i="501"/>
  <c r="X18" i="501"/>
  <c r="P5" i="500"/>
  <c r="A5" i="500" s="1"/>
  <c r="P5" i="501"/>
  <c r="P33" i="501"/>
  <c r="A33" i="501" s="1"/>
  <c r="P4" i="501"/>
  <c r="P17" i="500"/>
  <c r="A17" i="500" s="1"/>
  <c r="L5" i="404"/>
  <c r="P4" i="500"/>
  <c r="A4" i="500" s="1"/>
  <c r="P33" i="500"/>
  <c r="A33" i="500" s="1"/>
  <c r="H107" i="268"/>
  <c r="C41" i="288"/>
  <c r="B130" i="288"/>
  <c r="D18" i="406"/>
  <c r="E18" i="406" s="1"/>
  <c r="B12" i="403" s="1"/>
  <c r="B2" i="282"/>
  <c r="B129" i="288" s="1"/>
  <c r="C107" i="288"/>
  <c r="B48" i="281"/>
  <c r="B55" i="281" s="1"/>
  <c r="B2" i="404"/>
  <c r="L2" i="404" s="1"/>
  <c r="H150" i="432"/>
  <c r="H151" i="432" s="1"/>
  <c r="C45" i="281"/>
  <c r="D178" i="288"/>
  <c r="E178" i="288" s="1"/>
  <c r="H170" i="268"/>
  <c r="C90" i="288"/>
  <c r="H57" i="432"/>
  <c r="H105" i="432"/>
  <c r="B85" i="288"/>
  <c r="H107" i="266"/>
  <c r="H50" i="266"/>
  <c r="H203" i="266"/>
  <c r="H214" i="268"/>
  <c r="L6" i="404"/>
  <c r="C2" i="394"/>
  <c r="B19" i="258" s="1"/>
  <c r="B49" i="282"/>
  <c r="B176" i="288" s="1"/>
  <c r="B177" i="288"/>
  <c r="B32" i="288"/>
  <c r="D32" i="288" s="1"/>
  <c r="E32" i="288" s="1"/>
  <c r="E108" i="266"/>
  <c r="M18" i="286"/>
  <c r="O18" i="286" s="1"/>
  <c r="J7" i="286"/>
  <c r="M17" i="286"/>
  <c r="O17" i="286" s="1"/>
  <c r="B135" i="288"/>
  <c r="B7" i="282"/>
  <c r="B134" i="288" s="1"/>
  <c r="C49" i="282"/>
  <c r="C176" i="288" s="1"/>
  <c r="C177" i="288"/>
  <c r="M18" i="287"/>
  <c r="O18" i="287" s="1"/>
  <c r="J7" i="287"/>
  <c r="M17" i="287"/>
  <c r="O17" i="287" s="1"/>
  <c r="F236" i="266"/>
  <c r="H214" i="266"/>
  <c r="E213" i="266"/>
  <c r="E234" i="266"/>
  <c r="C20" i="288" l="1"/>
  <c r="C34" i="273"/>
  <c r="C46" i="281"/>
  <c r="C98" i="288" s="1"/>
  <c r="D82" i="288"/>
  <c r="E82" i="288" s="1"/>
  <c r="D85" i="288"/>
  <c r="E85" i="288" s="1"/>
  <c r="E206" i="268"/>
  <c r="E208" i="268" s="1"/>
  <c r="B18" i="356"/>
  <c r="D18" i="356" s="1"/>
  <c r="D56" i="288"/>
  <c r="E56" i="288" s="1"/>
  <c r="K224" i="502"/>
  <c r="K228" i="502" s="1"/>
  <c r="B27" i="283" s="1"/>
  <c r="B28" i="283" s="1"/>
  <c r="B2" i="392"/>
  <c r="B23" i="392" s="1"/>
  <c r="C34" i="394"/>
  <c r="B20" i="258" s="1"/>
  <c r="E108" i="268"/>
  <c r="E106" i="432" s="1"/>
  <c r="C135" i="288"/>
  <c r="D135" i="288" s="1"/>
  <c r="E135" i="288" s="1"/>
  <c r="C19" i="280"/>
  <c r="H57" i="268"/>
  <c r="H108" i="268" s="1"/>
  <c r="B114" i="273"/>
  <c r="B113" i="273"/>
  <c r="B3" i="252"/>
  <c r="B11" i="252" s="1"/>
  <c r="C46" i="288"/>
  <c r="C2" i="282"/>
  <c r="C129" i="288" s="1"/>
  <c r="D129" i="288" s="1"/>
  <c r="E129" i="288" s="1"/>
  <c r="C45" i="288"/>
  <c r="C34" i="288"/>
  <c r="H236" i="268"/>
  <c r="C45" i="282"/>
  <c r="C172" i="288" s="1"/>
  <c r="C52" i="273"/>
  <c r="C53" i="273"/>
  <c r="H212" i="432"/>
  <c r="H234" i="432" s="1"/>
  <c r="B45" i="282"/>
  <c r="H57" i="266"/>
  <c r="H108" i="266" s="1"/>
  <c r="B19" i="280"/>
  <c r="B38" i="273" s="1"/>
  <c r="H203" i="268"/>
  <c r="H206" i="268" s="1"/>
  <c r="H208" i="268" s="1"/>
  <c r="C5" i="232" s="1"/>
  <c r="C11" i="232" s="1"/>
  <c r="B2" i="232" s="1"/>
  <c r="B4" i="232" s="1"/>
  <c r="C53" i="280"/>
  <c r="C53" i="288" s="1"/>
  <c r="C130" i="288"/>
  <c r="D130" i="288" s="1"/>
  <c r="E130" i="288" s="1"/>
  <c r="C40" i="288"/>
  <c r="C7" i="282"/>
  <c r="E235" i="266"/>
  <c r="E243" i="266"/>
  <c r="E250" i="266" s="1"/>
  <c r="E255" i="266" s="1"/>
  <c r="E165" i="266" s="1"/>
  <c r="E166" i="266" s="1"/>
  <c r="E168" i="266" s="1"/>
  <c r="E169" i="266" s="1"/>
  <c r="E256" i="266" s="1"/>
  <c r="B255" i="288"/>
  <c r="D255" i="288" s="1"/>
  <c r="E255" i="288" s="1"/>
  <c r="K388" i="502"/>
  <c r="B17" i="283"/>
  <c r="B217" i="288" s="1"/>
  <c r="D217" i="288" s="1"/>
  <c r="E217" i="288" s="1"/>
  <c r="B203" i="288"/>
  <c r="D203" i="288" s="1"/>
  <c r="E203" i="288" s="1"/>
  <c r="B218" i="288"/>
  <c r="D218" i="288" s="1"/>
  <c r="E218" i="288" s="1"/>
  <c r="B256" i="288"/>
  <c r="D256" i="288" s="1"/>
  <c r="E256" i="288" s="1"/>
  <c r="B53" i="280"/>
  <c r="B53" i="288" s="1"/>
  <c r="B9" i="356"/>
  <c r="D9" i="356" s="1"/>
  <c r="L31" i="404"/>
  <c r="N5" i="404"/>
  <c r="W4" i="501"/>
  <c r="X4" i="501" s="1"/>
  <c r="N6" i="404"/>
  <c r="W5" i="501"/>
  <c r="X5" i="501" s="1"/>
  <c r="A4" i="501"/>
  <c r="A5" i="501"/>
  <c r="D41" i="406"/>
  <c r="E41" i="406" s="1"/>
  <c r="B35" i="403" s="1"/>
  <c r="P28" i="501" s="1"/>
  <c r="A28" i="501" s="1"/>
  <c r="H167" i="432"/>
  <c r="D176" i="288"/>
  <c r="E176" i="288" s="1"/>
  <c r="B10" i="356"/>
  <c r="D10" i="356" s="1"/>
  <c r="H232" i="432"/>
  <c r="B100" i="288"/>
  <c r="D100" i="288" s="1"/>
  <c r="E100" i="288" s="1"/>
  <c r="B31" i="404"/>
  <c r="C97" i="288"/>
  <c r="H106" i="432"/>
  <c r="B14" i="288"/>
  <c r="D14" i="288" s="1"/>
  <c r="E14" i="288" s="1"/>
  <c r="B7" i="288"/>
  <c r="D7" i="288" s="1"/>
  <c r="E7" i="288" s="1"/>
  <c r="B20" i="288"/>
  <c r="D177" i="288"/>
  <c r="E177" i="288" s="1"/>
  <c r="B34" i="288"/>
  <c r="B90" i="288"/>
  <c r="D90" i="288" s="1"/>
  <c r="E90" i="288" s="1"/>
  <c r="B45" i="281"/>
  <c r="B48" i="288"/>
  <c r="D48" i="288" s="1"/>
  <c r="E48" i="288" s="1"/>
  <c r="B37" i="288"/>
  <c r="D37" i="288" s="1"/>
  <c r="E37" i="288" s="1"/>
  <c r="B25" i="288"/>
  <c r="D25" i="288" s="1"/>
  <c r="E25" i="288" s="1"/>
  <c r="B41" i="288"/>
  <c r="D41" i="288" s="1"/>
  <c r="E41" i="288" s="1"/>
  <c r="B40" i="288"/>
  <c r="B46" i="288"/>
  <c r="B13" i="288"/>
  <c r="D13" i="288" s="1"/>
  <c r="E13" i="288" s="1"/>
  <c r="H206" i="266"/>
  <c r="B36" i="288"/>
  <c r="D36" i="288" s="1"/>
  <c r="E36" i="288" s="1"/>
  <c r="B45" i="288"/>
  <c r="B36" i="282"/>
  <c r="C2" i="397" s="1"/>
  <c r="C18" i="397" s="1"/>
  <c r="B107" i="288"/>
  <c r="D107" i="288" s="1"/>
  <c r="E107" i="288" s="1"/>
  <c r="H236" i="266"/>
  <c r="N8" i="286" s="1"/>
  <c r="D20" i="288" l="1"/>
  <c r="E20" i="288" s="1"/>
  <c r="C36" i="282"/>
  <c r="C40" i="282" s="1"/>
  <c r="C2" i="251" s="1"/>
  <c r="C3" i="251" s="1"/>
  <c r="C12" i="251" s="1"/>
  <c r="C174" i="273" s="1"/>
  <c r="E204" i="432"/>
  <c r="B227" i="288"/>
  <c r="D227" i="288" s="1"/>
  <c r="E227" i="288" s="1"/>
  <c r="D40" i="288"/>
  <c r="E40" i="288" s="1"/>
  <c r="D45" i="288"/>
  <c r="E45" i="288" s="1"/>
  <c r="H234" i="268"/>
  <c r="H213" i="268"/>
  <c r="H243" i="268" s="1"/>
  <c r="H250" i="268" s="1"/>
  <c r="H255" i="268" s="1"/>
  <c r="H165" i="268" s="1"/>
  <c r="C71" i="281" s="1"/>
  <c r="H211" i="432"/>
  <c r="H233" i="432" s="1"/>
  <c r="D53" i="288"/>
  <c r="E53" i="288" s="1"/>
  <c r="C38" i="273"/>
  <c r="C22" i="288"/>
  <c r="C26" i="280"/>
  <c r="C29" i="288" s="1"/>
  <c r="D46" i="288"/>
  <c r="E46" i="288" s="1"/>
  <c r="B10" i="400"/>
  <c r="B11" i="400" s="1"/>
  <c r="D34" i="288"/>
  <c r="E34" i="288" s="1"/>
  <c r="N8" i="287"/>
  <c r="N7" i="287" s="1"/>
  <c r="C134" i="288"/>
  <c r="D134" i="288" s="1"/>
  <c r="E134" i="288" s="1"/>
  <c r="E213" i="268"/>
  <c r="E206" i="432"/>
  <c r="E243" i="268"/>
  <c r="E234" i="268"/>
  <c r="E232" i="432" s="1"/>
  <c r="B29" i="283"/>
  <c r="B228" i="288"/>
  <c r="D228" i="288" s="1"/>
  <c r="E228" i="288" s="1"/>
  <c r="P28" i="500"/>
  <c r="A28" i="500" s="1"/>
  <c r="C70" i="282"/>
  <c r="C197" i="288" s="1"/>
  <c r="H254" i="432"/>
  <c r="B97" i="288"/>
  <c r="D97" i="288" s="1"/>
  <c r="E97" i="288" s="1"/>
  <c r="B46" i="281"/>
  <c r="H208" i="266"/>
  <c r="B5" i="232" s="1"/>
  <c r="B11" i="232" s="1"/>
  <c r="N7" i="286"/>
  <c r="B26" i="280"/>
  <c r="B22" i="288"/>
  <c r="B163" i="288"/>
  <c r="B4" i="356"/>
  <c r="D4" i="356" s="1"/>
  <c r="B40" i="282"/>
  <c r="B172" i="288"/>
  <c r="D172" i="288" s="1"/>
  <c r="E172" i="288" s="1"/>
  <c r="B70" i="282"/>
  <c r="B197" i="288" s="1"/>
  <c r="C163" i="288" l="1"/>
  <c r="D163" i="288" s="1"/>
  <c r="E163" i="288" s="1"/>
  <c r="B20" i="356"/>
  <c r="D20" i="356" s="1"/>
  <c r="D22" i="288"/>
  <c r="E22" i="288" s="1"/>
  <c r="H257" i="266"/>
  <c r="L8" i="287"/>
  <c r="M8" i="287" s="1"/>
  <c r="O8" i="287" s="1"/>
  <c r="H235" i="268"/>
  <c r="C54" i="280"/>
  <c r="C54" i="288" s="1"/>
  <c r="C130" i="273"/>
  <c r="B2" i="403"/>
  <c r="B2" i="251"/>
  <c r="B3" i="251" s="1"/>
  <c r="B12" i="251" s="1"/>
  <c r="B58" i="283"/>
  <c r="B60" i="283" s="1"/>
  <c r="E250" i="268"/>
  <c r="E241" i="432"/>
  <c r="E235" i="268"/>
  <c r="E233" i="432" s="1"/>
  <c r="E211" i="432"/>
  <c r="H166" i="268"/>
  <c r="H168" i="268" s="1"/>
  <c r="H169" i="268" s="1"/>
  <c r="H256" i="268" s="1"/>
  <c r="B229" i="288"/>
  <c r="D229" i="288" s="1"/>
  <c r="E229" i="288" s="1"/>
  <c r="B16" i="356"/>
  <c r="D16" i="356" s="1"/>
  <c r="D197" i="288"/>
  <c r="E197" i="288" s="1"/>
  <c r="B42" i="282"/>
  <c r="B2" i="258" s="1"/>
  <c r="B22" i="258" s="1"/>
  <c r="B54" i="280"/>
  <c r="B15" i="356"/>
  <c r="D15" i="356" s="1"/>
  <c r="B11" i="356"/>
  <c r="D11" i="356" s="1"/>
  <c r="B29" i="288"/>
  <c r="D29" i="288" s="1"/>
  <c r="E29" i="288" s="1"/>
  <c r="H234" i="266"/>
  <c r="H213" i="266"/>
  <c r="B98" i="288"/>
  <c r="D98" i="288" s="1"/>
  <c r="E98" i="288" s="1"/>
  <c r="B17" i="356"/>
  <c r="D17" i="356" s="1"/>
  <c r="B167" i="288"/>
  <c r="B6" i="356"/>
  <c r="D6" i="356" s="1"/>
  <c r="B3" i="406"/>
  <c r="D19" i="406" s="1"/>
  <c r="E19" i="406" s="1"/>
  <c r="B13" i="403" s="1"/>
  <c r="B14" i="356"/>
  <c r="D14" i="356" s="1"/>
  <c r="C167" i="288"/>
  <c r="C72" i="281"/>
  <c r="C123" i="288"/>
  <c r="C42" i="282"/>
  <c r="C2" i="258" s="1"/>
  <c r="C22" i="258" s="1"/>
  <c r="C180" i="273" s="1"/>
  <c r="E6" i="287"/>
  <c r="E34" i="287" s="1"/>
  <c r="J6" i="287"/>
  <c r="J34" i="287" s="1"/>
  <c r="M2" i="287"/>
  <c r="I6" i="287"/>
  <c r="I34" i="287" s="1"/>
  <c r="I2" i="286" s="1"/>
  <c r="C11" i="273" s="1"/>
  <c r="H6" i="287"/>
  <c r="H34" i="287" s="1"/>
  <c r="H2" i="286" s="1"/>
  <c r="C10" i="273" s="1"/>
  <c r="G6" i="287"/>
  <c r="G34" i="287" s="1"/>
  <c r="G2" i="286" s="1"/>
  <c r="C9" i="273" s="1"/>
  <c r="F6" i="287"/>
  <c r="F34" i="287" s="1"/>
  <c r="F2" i="286" s="1"/>
  <c r="C8" i="273" s="1"/>
  <c r="D6" i="287"/>
  <c r="D34" i="287" s="1"/>
  <c r="L6" i="287"/>
  <c r="K6" i="287"/>
  <c r="K34" i="287" s="1"/>
  <c r="C6" i="287"/>
  <c r="C34" i="287" s="1"/>
  <c r="C2" i="286" s="1"/>
  <c r="B6" i="287"/>
  <c r="L7" i="287" l="1"/>
  <c r="M7" i="287" s="1"/>
  <c r="O7" i="287" s="1"/>
  <c r="C9" i="397"/>
  <c r="H243" i="266"/>
  <c r="H250" i="266" s="1"/>
  <c r="L8" i="286"/>
  <c r="C6" i="273"/>
  <c r="E2" i="286"/>
  <c r="E6" i="286" s="1"/>
  <c r="E34" i="286" s="1"/>
  <c r="D2" i="286"/>
  <c r="C7" i="273" s="1"/>
  <c r="B3" i="356"/>
  <c r="D3" i="356" s="1"/>
  <c r="K2" i="286"/>
  <c r="C13" i="273" s="1"/>
  <c r="J2" i="286"/>
  <c r="C12" i="273" s="1"/>
  <c r="E255" i="268"/>
  <c r="E248" i="432"/>
  <c r="B258" i="288"/>
  <c r="D258" i="288" s="1"/>
  <c r="E258" i="288" s="1"/>
  <c r="K387" i="502"/>
  <c r="B5" i="356"/>
  <c r="D5" i="356" s="1"/>
  <c r="B3" i="403"/>
  <c r="L34" i="287"/>
  <c r="D167" i="288"/>
  <c r="E167" i="288" s="1"/>
  <c r="B47" i="282"/>
  <c r="B174" i="288" s="1"/>
  <c r="B44" i="282"/>
  <c r="C2" i="398" s="1"/>
  <c r="B7" i="356"/>
  <c r="D7" i="356" s="1"/>
  <c r="B180" i="273"/>
  <c r="B169" i="288"/>
  <c r="B13" i="356"/>
  <c r="D13" i="356" s="1"/>
  <c r="B8" i="356"/>
  <c r="D8" i="356" s="1"/>
  <c r="B21" i="356"/>
  <c r="D21" i="356" s="1"/>
  <c r="B12" i="356"/>
  <c r="D12" i="356" s="1"/>
  <c r="B54" i="288"/>
  <c r="D54" i="288" s="1"/>
  <c r="E54" i="288" s="1"/>
  <c r="H235" i="266"/>
  <c r="D43" i="406"/>
  <c r="E43" i="406" s="1"/>
  <c r="B37" i="403" s="1"/>
  <c r="M6" i="287"/>
  <c r="D2" i="355" s="1"/>
  <c r="F6" i="286"/>
  <c r="F34" i="286" s="1"/>
  <c r="B8" i="273" s="1"/>
  <c r="B34" i="287"/>
  <c r="C74" i="281"/>
  <c r="C124" i="288"/>
  <c r="C47" i="282"/>
  <c r="C174" i="288" s="1"/>
  <c r="C169" i="288"/>
  <c r="C44" i="282"/>
  <c r="C6" i="286"/>
  <c r="C34" i="286" s="1"/>
  <c r="H6" i="286"/>
  <c r="H34" i="286" s="1"/>
  <c r="B10" i="273" s="1"/>
  <c r="I6" i="286"/>
  <c r="I34" i="286" s="1"/>
  <c r="B11" i="273" s="1"/>
  <c r="G6" i="286"/>
  <c r="G34" i="286" s="1"/>
  <c r="B9" i="273" s="1"/>
  <c r="C5" i="273" l="1"/>
  <c r="B2" i="286"/>
  <c r="C4" i="273" s="1"/>
  <c r="B6" i="273"/>
  <c r="K6" i="286"/>
  <c r="K34" i="286" s="1"/>
  <c r="B13" i="273" s="1"/>
  <c r="J6" i="286"/>
  <c r="J34" i="286" s="1"/>
  <c r="B12" i="273" s="1"/>
  <c r="D6" i="286"/>
  <c r="D34" i="286" s="1"/>
  <c r="B7" i="273" s="1"/>
  <c r="L2" i="286"/>
  <c r="C14" i="273" s="1"/>
  <c r="E165" i="268"/>
  <c r="E253" i="432"/>
  <c r="B260" i="288"/>
  <c r="D260" i="288" s="1"/>
  <c r="E260" i="288" s="1"/>
  <c r="B2" i="504"/>
  <c r="B6" i="504" s="1"/>
  <c r="B2" i="261"/>
  <c r="B176" i="273" s="1"/>
  <c r="P29" i="501"/>
  <c r="A29" i="501" s="1"/>
  <c r="B24" i="403"/>
  <c r="B44" i="403" s="1"/>
  <c r="B45" i="403" s="1"/>
  <c r="P29" i="500"/>
  <c r="A29" i="500" s="1"/>
  <c r="C3" i="397"/>
  <c r="C5" i="397" s="1"/>
  <c r="B69" i="282"/>
  <c r="B68" i="282" s="1"/>
  <c r="B195" i="288" s="1"/>
  <c r="B171" i="288"/>
  <c r="D174" i="288"/>
  <c r="E174" i="288" s="1"/>
  <c r="D169" i="288"/>
  <c r="E169" i="288" s="1"/>
  <c r="L7" i="286"/>
  <c r="M7" i="286" s="1"/>
  <c r="O7" i="286" s="1"/>
  <c r="M8" i="286"/>
  <c r="O8" i="286" s="1"/>
  <c r="H255" i="266"/>
  <c r="M34" i="287"/>
  <c r="D3" i="355" s="1"/>
  <c r="D21" i="355" s="1"/>
  <c r="D22" i="355" s="1"/>
  <c r="C4" i="398"/>
  <c r="C20" i="398"/>
  <c r="C14" i="398"/>
  <c r="C126" i="288"/>
  <c r="C75" i="281"/>
  <c r="C3" i="273" s="1"/>
  <c r="C69" i="282"/>
  <c r="C171" i="288"/>
  <c r="B5" i="273" l="1"/>
  <c r="M2" i="286"/>
  <c r="C15" i="273" s="1"/>
  <c r="B6" i="286"/>
  <c r="L6" i="286"/>
  <c r="E166" i="268"/>
  <c r="E163" i="432"/>
  <c r="B11" i="261"/>
  <c r="D171" i="288"/>
  <c r="E171" i="288" s="1"/>
  <c r="B196" i="288"/>
  <c r="H165" i="266"/>
  <c r="B71" i="281" s="1"/>
  <c r="B46" i="403"/>
  <c r="C19" i="397"/>
  <c r="C21" i="398"/>
  <c r="C15" i="398"/>
  <c r="C127" i="288"/>
  <c r="C68" i="282"/>
  <c r="C195" i="288" s="1"/>
  <c r="D195" i="288" s="1"/>
  <c r="E195" i="288" s="1"/>
  <c r="C196" i="288"/>
  <c r="M6" i="286" l="1"/>
  <c r="C2" i="355" s="1"/>
  <c r="B130" i="273"/>
  <c r="C5" i="398"/>
  <c r="B34" i="286"/>
  <c r="B4" i="273" s="1"/>
  <c r="L34" i="286"/>
  <c r="E168" i="268"/>
  <c r="E164" i="432"/>
  <c r="P32" i="501"/>
  <c r="A32" i="501" s="1"/>
  <c r="P32" i="500"/>
  <c r="A32" i="500" s="1"/>
  <c r="B48" i="403"/>
  <c r="B50" i="403" s="1"/>
  <c r="B2" i="250" s="1"/>
  <c r="B5" i="250" s="1"/>
  <c r="D196" i="288"/>
  <c r="E196" i="288" s="1"/>
  <c r="H166" i="266"/>
  <c r="O2" i="287"/>
  <c r="N6" i="287"/>
  <c r="O6" i="287" s="1"/>
  <c r="M34" i="286" l="1"/>
  <c r="C3" i="355" s="1"/>
  <c r="C21" i="355" s="1"/>
  <c r="C22" i="355" s="1"/>
  <c r="B19" i="356" s="1"/>
  <c r="D19" i="356" s="1"/>
  <c r="B14" i="273"/>
  <c r="B173" i="273"/>
  <c r="B174" i="273"/>
  <c r="E169" i="268"/>
  <c r="E166" i="432"/>
  <c r="B52" i="403"/>
  <c r="H168" i="266"/>
  <c r="B72" i="281"/>
  <c r="B123" i="288"/>
  <c r="D123" i="288" s="1"/>
  <c r="E123" i="288" s="1"/>
  <c r="N34" i="287"/>
  <c r="B15" i="273" l="1"/>
  <c r="N2" i="286"/>
  <c r="E167" i="432"/>
  <c r="E256" i="268"/>
  <c r="O34" i="287"/>
  <c r="C6" i="397"/>
  <c r="B124" i="288"/>
  <c r="D124" i="288" s="1"/>
  <c r="E124" i="288" s="1"/>
  <c r="C7" i="289"/>
  <c r="A13" i="289" s="1"/>
  <c r="E13" i="289" s="1"/>
  <c r="C17" i="289" s="1"/>
  <c r="B74" i="281"/>
  <c r="H169" i="266"/>
  <c r="O2" i="286" l="1"/>
  <c r="C17" i="273" s="1"/>
  <c r="C16" i="273"/>
  <c r="N6" i="286"/>
  <c r="N34" i="286" s="1"/>
  <c r="B16" i="273" s="1"/>
  <c r="B27" i="289"/>
  <c r="E27" i="289" s="1"/>
  <c r="C30" i="289" s="1"/>
  <c r="B41" i="289"/>
  <c r="E41" i="289" s="1"/>
  <c r="C42" i="289" s="1"/>
  <c r="B40" i="289"/>
  <c r="E40" i="289" s="1"/>
  <c r="H256" i="266"/>
  <c r="E254" i="432"/>
  <c r="C7" i="397"/>
  <c r="C8" i="397"/>
  <c r="B126" i="288"/>
  <c r="D126" i="288" s="1"/>
  <c r="E126" i="288" s="1"/>
  <c r="B75" i="281"/>
  <c r="B3" i="273" s="1"/>
  <c r="B2" i="356"/>
  <c r="D2" i="356" s="1"/>
  <c r="O6" i="286" l="1"/>
  <c r="O34" i="286"/>
  <c r="B17" i="273" s="1"/>
  <c r="B127" i="288"/>
  <c r="D127" i="288" s="1"/>
  <c r="E127" i="28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litufu</author>
  </authors>
  <commentList>
    <comment ref="B37" authorId="0" shapeId="0" xr:uid="{CFBB8BDC-26C4-462F-829F-8E6C94A9474C}">
      <text>
        <r>
          <rPr>
            <b/>
            <sz val="9"/>
            <color indexed="81"/>
            <rFont val="宋体"/>
            <family val="3"/>
            <charset val="134"/>
          </rPr>
          <t>litufu:</t>
        </r>
        <r>
          <rPr>
            <sz val="9"/>
            <color indexed="81"/>
            <rFont val="宋体"/>
            <family val="3"/>
            <charset val="134"/>
          </rPr>
          <t xml:space="preserve">
递延所得税负债部分使用负数表示差异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1151-65A7-437D-9A64-D6B6D1ACE16B}" keepAlive="1" name="查询 - Table 0" description="与工作簿中“Table 0”查询的连接。" type="5" refreshedVersion="7" background="1" saveData="1">
    <dbPr connection="Provider=Microsoft.Mashup.OleDb.1;Data Source=$Workbook$;Location=Table 0;Extended Properties=&quot;&quot;" command="SELECT * FROM [Table 0]"/>
  </connection>
  <connection id="2" xr16:uid="{D4143C4B-0AD3-4FAE-ACF2-C031659E86E4}" keepAlive="1" name="查询 - Table 0 (2)" description="与工作簿中“Table 0 (2)”查询的连接。" type="5" refreshedVersion="7" background="1" saveData="1">
    <dbPr connection="Provider=Microsoft.Mashup.OleDb.1;Data Source=$Workbook$;Location=Table 0 (2);Extended Properties=&quot;&quot;" command="SELECT * FROM [Table 0 (2)]"/>
  </connection>
</connections>
</file>

<file path=xl/sharedStrings.xml><?xml version="1.0" encoding="utf-8"?>
<sst xmlns="http://schemas.openxmlformats.org/spreadsheetml/2006/main" count="10538" uniqueCount="4946">
  <si>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</si>
  <si>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</si>
  <si>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</si>
  <si>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</si>
  <si>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</si>
  <si>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</si>
  <si>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</si>
  <si>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</si>
  <si>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</si>
  <si>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</si>
  <si>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</si>
  <si>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</si>
  <si>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</si>
  <si>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</si>
  <si>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</si>
  <si>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</si>
  <si>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</si>
  <si>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</si>
  <si>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</si>
  <si>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</si>
  <si>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</si>
  <si>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</si>
  <si>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</si>
  <si>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</si>
  <si>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</si>
  <si>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</si>
  <si>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</si>
  <si>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</si>
  <si>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</si>
  <si>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</si>
  <si>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</si>
  <si>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</si>
  <si>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</si>
  <si>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</si>
  <si>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</si>
  <si>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</si>
  <si>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</si>
  <si>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</si>
  <si>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</si>
  <si>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</si>
  <si>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</si>
  <si>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</si>
  <si>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</si>
  <si>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</si>
  <si>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</si>
  <si>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</si>
  <si>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</si>
  <si>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</si>
  <si>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</si>
  <si>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</si>
  <si>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</si>
  <si>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</si>
  <si>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</si>
  <si>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</si>
  <si>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</si>
  <si>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</si>
  <si>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</si>
  <si>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</si>
  <si>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</si>
  <si>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</si>
  <si>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</si>
  <si>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</si>
  <si>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</si>
  <si>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</si>
  <si>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</si>
  <si>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</si>
  <si>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</si>
  <si>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</si>
  <si>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</si>
  <si>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</si>
  <si>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</si>
  <si>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</si>
  <si>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</si>
  <si>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</si>
  <si>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</si>
  <si>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</si>
  <si>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</si>
  <si>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</si>
  <si>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</si>
  <si>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</si>
  <si>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</si>
  <si>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</si>
  <si>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</si>
  <si>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</si>
  <si>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</si>
  <si>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报表项目</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</si>
  <si>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</si>
  <si>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</si>
  <si>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</si>
  <si>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</si>
  <si>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</si>
  <si>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</si>
  <si>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</si>
  <si>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</si>
  <si>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</si>
  <si>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</si>
  <si>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</si>
  <si>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</si>
  <si>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</si>
  <si>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</si>
  <si>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</si>
  <si>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</si>
  <si>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</si>
  <si>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</si>
  <si>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</si>
  <si>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</si>
  <si>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</si>
  <si>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</si>
  <si>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</si>
  <si>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</si>
  <si>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</si>
  <si>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</si>
  <si>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</si>
  <si>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</si>
  <si>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</si>
  <si>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</si>
  <si>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</si>
  <si>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</si>
  <si>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</si>
  <si>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</si>
  <si>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</si>
  <si>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</si>
  <si>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</si>
  <si>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</si>
  <si>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</si>
  <si>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</si>
  <si>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</si>
  <si>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</si>
  <si>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</si>
  <si>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</si>
  <si>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</si>
  <si>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</si>
  <si>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</si>
  <si>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</si>
  <si>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</si>
  <si>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</si>
  <si>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</si>
  <si>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</si>
  <si>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</si>
  <si>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</si>
  <si>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</si>
  <si>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</si>
  <si>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</si>
  <si>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</si>
  <si>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</si>
  <si>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</si>
  <si>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</si>
  <si>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</si>
  <si>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</si>
  <si>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</si>
  <si>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</si>
  <si>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</si>
  <si>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</si>
  <si>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</si>
  <si>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</si>
  <si>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</si>
  <si>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</si>
  <si>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</si>
  <si>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</si>
  <si>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</si>
  <si>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</si>
  <si>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</si>
  <si>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</si>
  <si>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</si>
  <si>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</si>
  <si>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</si>
  <si>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</si>
  <si>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</si>
  <si>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</si>
  <si>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</si>
  <si>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</si>
  <si>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</si>
  <si>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</si>
  <si>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</si>
  <si>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</si>
  <si>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</si>
  <si>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</si>
  <si>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</si>
  <si>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</si>
  <si>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</si>
  <si>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</si>
  <si>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</si>
  <si>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</si>
  <si>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</si>
  <si>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</si>
  <si>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</si>
  <si>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r>
      <t>XX</t>
    </r>
    <r>
      <rPr>
        <sz val="10.5"/>
        <color theme="1"/>
        <rFont val="宋体"/>
        <family val="3"/>
        <charset val="134"/>
      </rPr>
      <t>公司</t>
    </r>
  </si>
  <si>
    <t>—现金</t>
  </si>
  <si>
    <t>—非现金资产的公允价值</t>
  </si>
  <si>
    <t>差额</t>
  </si>
  <si>
    <t>其中：调整资本公积</t>
  </si>
  <si>
    <t>库存现金</t>
  </si>
  <si>
    <t>银行存款</t>
  </si>
  <si>
    <t>其他货币资金</t>
  </si>
  <si>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</si>
  <si>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</si>
  <si>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</si>
  <si>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</si>
  <si>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</si>
  <si>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</si>
  <si>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</si>
  <si>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权益工具投资</t>
  </si>
  <si>
    <t>其他</t>
  </si>
  <si>
    <t>期末数</t>
  </si>
  <si>
    <t>合计</t>
  </si>
  <si>
    <t>种类</t>
  </si>
  <si>
    <t>银行承兑汇票</t>
  </si>
  <si>
    <t>商业承兑汇票</t>
  </si>
  <si>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</si>
  <si>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</si>
  <si>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</si>
  <si>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</si>
  <si>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</si>
  <si>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</si>
  <si>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</si>
  <si>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</si>
  <si>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</si>
  <si>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</si>
  <si>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</si>
  <si>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</si>
  <si>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</si>
  <si>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</si>
  <si>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</si>
  <si>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</si>
  <si>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</si>
  <si>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</si>
  <si>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</si>
  <si>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</si>
  <si>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</si>
  <si>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</si>
  <si>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</si>
  <si>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收回方式</t>
  </si>
  <si>
    <t>款项性质</t>
  </si>
  <si>
    <t>核销原因</t>
  </si>
  <si>
    <t>履行的核销程序</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</si>
  <si>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</si>
  <si>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</si>
  <si>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</si>
  <si>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</si>
  <si>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</si>
  <si>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</si>
  <si>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</si>
  <si>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</si>
  <si>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</si>
  <si>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</si>
  <si>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t>期末余额</t>
    <phoneticPr fontId="1" type="noConversion"/>
  </si>
  <si>
    <t>期初余额</t>
    <phoneticPr fontId="1" type="noConversion"/>
  </si>
  <si>
    <t>-</t>
  </si>
  <si>
    <t>转回或收回前累计已计提坏账准备金额</t>
  </si>
  <si>
    <t>转回或收回原因、方式</t>
  </si>
  <si>
    <t>应收账款性质</t>
  </si>
  <si>
    <t>是否因关联交易产生</t>
  </si>
  <si>
    <t>占应收账款合计的比例（%）</t>
  </si>
  <si>
    <t>与终止确认相关的利得和损失（损失以"-"填列）</t>
    <phoneticPr fontId="1" type="noConversion"/>
  </si>
  <si>
    <t>资产：</t>
  </si>
  <si>
    <t>资产小计</t>
  </si>
  <si>
    <t>负债：</t>
  </si>
  <si>
    <t>负债小计</t>
  </si>
  <si>
    <t>1年以内</t>
  </si>
  <si>
    <t>1-2年</t>
  </si>
  <si>
    <t>2-3年</t>
  </si>
  <si>
    <t>3年以上</t>
  </si>
  <si>
    <t>合计</t>
    <phoneticPr fontId="1" type="noConversion"/>
  </si>
  <si>
    <t>已终止确认</t>
    <phoneticPr fontId="1" type="noConversion"/>
  </si>
  <si>
    <t>未终止确认</t>
    <phoneticPr fontId="1" type="noConversion"/>
  </si>
  <si>
    <t>期初数</t>
  </si>
  <si>
    <t>1 年以内</t>
  </si>
  <si>
    <t>1-2 年</t>
  </si>
  <si>
    <t>2-3 年</t>
  </si>
  <si>
    <t>3 年以上</t>
  </si>
  <si>
    <t>期末比例(%)</t>
    <phoneticPr fontId="1" type="noConversion"/>
  </si>
  <si>
    <t>期末减值准备</t>
    <phoneticPr fontId="1" type="noConversion"/>
  </si>
  <si>
    <t>期末账面价值</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</si>
  <si>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</si>
  <si>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</si>
  <si>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</si>
  <si>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</si>
  <si>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</si>
  <si>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</si>
  <si>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</si>
  <si>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</si>
  <si>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应收利息</t>
  </si>
  <si>
    <t>应收股利</t>
  </si>
  <si>
    <t>其他应收款项</t>
  </si>
  <si>
    <t>定期存款</t>
  </si>
  <si>
    <t>委托贷款</t>
  </si>
  <si>
    <t>债券投资</t>
  </si>
  <si>
    <t>借款单位</t>
  </si>
  <si>
    <t>逾期时间（月）</t>
  </si>
  <si>
    <t>逾期原因</t>
  </si>
  <si>
    <t>是否发生减值及其判断依据</t>
  </si>
  <si>
    <t>未收回的原因</t>
  </si>
  <si>
    <t>其他应收款项性质</t>
  </si>
  <si>
    <t>占其他应收款项合计的比例（%）</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</si>
  <si>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</si>
  <si>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</si>
  <si>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</si>
  <si>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</si>
  <si>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</si>
  <si>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</si>
  <si>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</si>
  <si>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</si>
  <si>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</si>
  <si>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</si>
  <si>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</si>
  <si>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</si>
  <si>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</si>
  <si>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</si>
  <si>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</si>
  <si>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</si>
  <si>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</si>
  <si>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</si>
  <si>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</si>
  <si>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期末坏账准备</t>
  </si>
  <si>
    <t>原材料</t>
  </si>
  <si>
    <t>库存商品（产成品）</t>
  </si>
  <si>
    <t>消耗性生物资产</t>
  </si>
  <si>
    <t>期末跌价准备</t>
    <phoneticPr fontId="1" type="noConversion"/>
  </si>
  <si>
    <t>期末价值</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</si>
  <si>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</si>
  <si>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</si>
  <si>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</si>
  <si>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</si>
  <si>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</si>
  <si>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</si>
  <si>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</si>
  <si>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</si>
  <si>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</si>
  <si>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</si>
  <si>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</si>
  <si>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</si>
  <si>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</si>
  <si>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</si>
  <si>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</si>
  <si>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</si>
  <si>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</si>
  <si>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</si>
  <si>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</si>
  <si>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</si>
  <si>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</si>
  <si>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</si>
  <si>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</si>
  <si>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</si>
  <si>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</si>
  <si>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</si>
  <si>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</si>
  <si>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</si>
  <si>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</si>
  <si>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</si>
  <si>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</si>
  <si>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</si>
  <si>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</si>
  <si>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</si>
  <si>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</si>
  <si>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公允价值</t>
  </si>
  <si>
    <t>预计出售费用</t>
  </si>
  <si>
    <t>预计出售时间</t>
    <phoneticPr fontId="1" type="noConversion"/>
  </si>
  <si>
    <t>本年计提</t>
  </si>
  <si>
    <t>其他减少</t>
    <phoneticPr fontId="1" type="noConversion"/>
  </si>
  <si>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</si>
  <si>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</si>
  <si>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</si>
  <si>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</si>
  <si>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</si>
  <si>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</si>
  <si>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</si>
  <si>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</si>
  <si>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</si>
  <si>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</si>
  <si>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</si>
  <si>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</si>
  <si>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</si>
  <si>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</si>
  <si>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t>可供出售债务工具</t>
  </si>
  <si>
    <t>可供出售权益工具</t>
  </si>
  <si>
    <t>其中：按公允价值计量的</t>
  </si>
  <si>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</si>
  <si>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</si>
  <si>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</si>
  <si>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</si>
  <si>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</si>
  <si>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</si>
  <si>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</si>
  <si>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</si>
  <si>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</si>
  <si>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</si>
  <si>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</si>
  <si>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</si>
  <si>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</si>
  <si>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</si>
  <si>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t>期末余额</t>
  </si>
  <si>
    <t>其他</t>
    <phoneticPr fontId="1" type="noConversion"/>
  </si>
  <si>
    <t>折现率区间</t>
  </si>
  <si>
    <t>融资租赁款</t>
  </si>
  <si>
    <t>分期收款提供劳务</t>
  </si>
  <si>
    <t>期末账面减值</t>
    <phoneticPr fontId="1" type="noConversion"/>
  </si>
  <si>
    <t>与终止确认相关的利得或损失</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</si>
  <si>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</si>
  <si>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</si>
  <si>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</si>
  <si>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</si>
  <si>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</si>
  <si>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</si>
  <si>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</si>
  <si>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</si>
  <si>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</si>
  <si>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</si>
  <si>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</si>
  <si>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企业1</t>
  </si>
  <si>
    <t>企业2</t>
  </si>
  <si>
    <t>企业本年收到的来自合营企业的股利</t>
  </si>
  <si>
    <t>企业3</t>
    <phoneticPr fontId="1" type="noConversion"/>
  </si>
  <si>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</si>
  <si>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</si>
  <si>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</si>
  <si>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</si>
  <si>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</si>
  <si>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</si>
  <si>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本期确认的股利收入</t>
  </si>
  <si>
    <t>其他综合收益转入留存收益的原因</t>
  </si>
  <si>
    <t>衍生金融资产</t>
  </si>
  <si>
    <t>房屋及建筑物</t>
  </si>
  <si>
    <t>土地使用权</t>
  </si>
  <si>
    <t>在建工程</t>
  </si>
  <si>
    <t>一、账面原值</t>
  </si>
  <si>
    <r>
      <t>2</t>
    </r>
    <r>
      <rPr>
        <sz val="10.5"/>
        <color theme="1"/>
        <rFont val="宋体"/>
        <family val="3"/>
        <charset val="134"/>
      </rPr>
      <t>、本期增加金额</t>
    </r>
  </si>
  <si>
    <r>
      <t>3</t>
    </r>
    <r>
      <rPr>
        <sz val="10.5"/>
        <color theme="1"/>
        <rFont val="宋体"/>
        <family val="3"/>
        <charset val="134"/>
      </rPr>
      <t>、本期减少金额</t>
    </r>
  </si>
  <si>
    <r>
      <t>4</t>
    </r>
    <r>
      <rPr>
        <sz val="10.5"/>
        <color theme="1"/>
        <rFont val="宋体"/>
        <family val="3"/>
        <charset val="134"/>
      </rPr>
      <t>、期末余额</t>
    </r>
  </si>
  <si>
    <t>二、累计折旧和累计摊销</t>
  </si>
  <si>
    <t>三、减值准备</t>
  </si>
  <si>
    <t>四、账面价值</t>
  </si>
  <si>
    <r>
      <t>1</t>
    </r>
    <r>
      <rPr>
        <sz val="10.5"/>
        <color theme="1"/>
        <rFont val="宋体"/>
        <family val="3"/>
        <charset val="134"/>
      </rPr>
      <t>、期末账面价值</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</si>
  <si>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</si>
  <si>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</si>
  <si>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</si>
  <si>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</si>
  <si>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</si>
  <si>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</si>
  <si>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</si>
  <si>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</si>
  <si>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</si>
  <si>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</si>
  <si>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</si>
  <si>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</si>
  <si>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</si>
  <si>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</si>
  <si>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</si>
  <si>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</si>
  <si>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</si>
  <si>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</si>
  <si>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</si>
  <si>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</si>
  <si>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</si>
  <si>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</si>
  <si>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</si>
  <si>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计提原因</t>
  </si>
  <si>
    <t>1、期初数</t>
    <phoneticPr fontId="1" type="noConversion"/>
  </si>
  <si>
    <t>2、本期增加金额</t>
    <phoneticPr fontId="1" type="noConversion"/>
  </si>
  <si>
    <t>3、本期减少金额</t>
    <phoneticPr fontId="1" type="noConversion"/>
  </si>
  <si>
    <t>4、期末数</t>
    <phoneticPr fontId="1" type="noConversion"/>
  </si>
  <si>
    <t>二、累计折旧</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</si>
  <si>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</si>
  <si>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</si>
  <si>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</si>
  <si>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</si>
  <si>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</si>
  <si>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</si>
  <si>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</si>
  <si>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</si>
  <si>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t>软件</t>
    <phoneticPr fontId="1" type="noConversion"/>
  </si>
  <si>
    <t>二、累计摊销</t>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</si>
  <si>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</si>
  <si>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</si>
  <si>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</si>
  <si>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</si>
  <si>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</si>
  <si>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t>被投资单位名称</t>
    <phoneticPr fontId="1" type="noConversion"/>
  </si>
  <si>
    <t>本期减少</t>
  </si>
  <si>
    <t>其他减少的原因</t>
  </si>
  <si>
    <t>本期摊销</t>
    <phoneticPr fontId="1" type="noConversion"/>
  </si>
  <si>
    <t>可抵扣亏损</t>
  </si>
  <si>
    <t>期末可抵扣暂时性差异</t>
    <phoneticPr fontId="1" type="noConversion"/>
  </si>
  <si>
    <t>期初可抵扣暂时性差异</t>
    <phoneticPr fontId="1" type="noConversion"/>
  </si>
  <si>
    <t>期初递延所得税资产</t>
    <phoneticPr fontId="1" type="noConversion"/>
  </si>
  <si>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</si>
  <si>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</si>
  <si>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</si>
  <si>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</si>
  <si>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</si>
  <si>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</si>
  <si>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</si>
  <si>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</si>
  <si>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</si>
  <si>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</si>
  <si>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</si>
  <si>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</si>
  <si>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t>交易性金融负债</t>
  </si>
  <si>
    <t>外汇衍生工具</t>
  </si>
  <si>
    <t>利率衍生工具</t>
  </si>
  <si>
    <t>信用衍生工具</t>
  </si>
  <si>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</si>
  <si>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</si>
  <si>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</si>
  <si>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</si>
  <si>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</si>
  <si>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</si>
  <si>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</si>
  <si>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</si>
  <si>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</si>
  <si>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</si>
  <si>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</si>
  <si>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</si>
  <si>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t>一、工资、奖金、津贴和补贴</t>
  </si>
  <si>
    <t>二、职工福利费</t>
  </si>
  <si>
    <t>三、社会保险费</t>
  </si>
  <si>
    <t>其中：医疗保险费</t>
  </si>
  <si>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</si>
  <si>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</si>
  <si>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</si>
  <si>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</si>
  <si>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</si>
  <si>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</si>
  <si>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</si>
  <si>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</si>
  <si>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</si>
  <si>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</si>
  <si>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</si>
  <si>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</si>
  <si>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</si>
  <si>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</si>
  <si>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</si>
  <si>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</si>
  <si>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t>其他利息</t>
  </si>
  <si>
    <t>普通股股利</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</si>
  <si>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</si>
  <si>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</si>
  <si>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</si>
  <si>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</si>
  <si>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</si>
  <si>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</si>
  <si>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</si>
  <si>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</si>
  <si>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</si>
  <si>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</si>
  <si>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</si>
  <si>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</si>
  <si>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</si>
  <si>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</si>
  <si>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</si>
  <si>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</si>
  <si>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</si>
  <si>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</si>
  <si>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</si>
  <si>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</si>
  <si>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</si>
  <si>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</si>
  <si>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</si>
  <si>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</si>
  <si>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</si>
  <si>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</si>
  <si>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</si>
  <si>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</si>
  <si>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</si>
  <si>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</si>
  <si>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t>
    </r>
    <r>
      <rPr>
        <sz val="10.5"/>
        <color theme="1"/>
        <rFont val="宋体"/>
        <family val="3"/>
        <charset val="134"/>
      </rPr>
      <t>其中：净利润</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</si>
  <si>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</si>
  <si>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</si>
  <si>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</si>
  <si>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</si>
  <si>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</si>
  <si>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</si>
  <si>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形成原因</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</si>
  <si>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</si>
  <si>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</si>
  <si>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</si>
  <si>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</si>
  <si>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</si>
  <si>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</si>
  <si>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</si>
  <si>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</si>
  <si>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计入其他综合收益的设定受益成本</t>
  </si>
  <si>
    <r>
      <t>1</t>
    </r>
    <r>
      <rPr>
        <sz val="10.5"/>
        <color theme="1"/>
        <rFont val="宋体"/>
        <family val="3"/>
        <charset val="134"/>
      </rPr>
      <t>、利息净额</t>
    </r>
  </si>
  <si>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</si>
  <si>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</si>
  <si>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</si>
  <si>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</si>
  <si>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</si>
  <si>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</si>
  <si>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</si>
  <si>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</si>
  <si>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</si>
  <si>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</si>
  <si>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</si>
  <si>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</si>
  <si>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</si>
  <si>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</si>
  <si>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</si>
  <si>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</si>
  <si>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</si>
  <si>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</si>
  <si>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</si>
  <si>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</si>
  <si>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</si>
  <si>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</si>
  <si>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</si>
  <si>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</si>
  <si>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</si>
  <si>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</si>
  <si>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</si>
  <si>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</si>
  <si>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</si>
  <si>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</si>
  <si>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</si>
  <si>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</si>
  <si>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</si>
  <si>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</si>
  <si>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</si>
  <si>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</si>
  <si>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</si>
  <si>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</si>
  <si>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</si>
  <si>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</si>
  <si>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</si>
  <si>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</si>
  <si>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</si>
  <si>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</si>
  <si>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</si>
  <si>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</si>
  <si>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</si>
  <si>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</si>
  <si>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</si>
  <si>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</si>
  <si>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</si>
  <si>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</si>
  <si>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</si>
  <si>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</si>
  <si>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</si>
  <si>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</si>
  <si>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</si>
  <si>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</si>
  <si>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</si>
  <si>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</si>
  <si>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</si>
  <si>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</si>
  <si>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</si>
  <si>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</si>
  <si>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</si>
  <si>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</si>
  <si>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</si>
  <si>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计入本期非经常性损益的金额</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</si>
  <si>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</si>
  <si>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</si>
  <si>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</si>
  <si>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</si>
  <si>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</si>
  <si>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</si>
  <si>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</si>
  <si>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</si>
  <si>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</si>
  <si>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</si>
  <si>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</si>
  <si>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</si>
  <si>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</si>
  <si>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</si>
  <si>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</si>
  <si>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</si>
  <si>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</si>
  <si>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</si>
  <si>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</si>
  <si>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</si>
  <si>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</si>
  <si>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</si>
  <si>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</si>
  <si>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</si>
  <si>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</si>
  <si>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</si>
  <si>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</si>
  <si>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</si>
  <si>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</si>
  <si>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</si>
  <si>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</si>
  <si>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</si>
  <si>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</si>
  <si>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</si>
  <si>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</si>
  <si>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</si>
  <si>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</si>
  <si>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</si>
  <si>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</si>
  <si>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</si>
  <si>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</si>
  <si>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</si>
  <si>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</si>
  <si>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</si>
  <si>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</si>
  <si>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</si>
  <si>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</si>
  <si>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</si>
  <si>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</si>
  <si>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</si>
  <si>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</si>
  <si>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</si>
  <si>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</si>
  <si>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</si>
  <si>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</si>
  <si>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</si>
  <si>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</si>
  <si>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</si>
  <si>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</si>
  <si>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</si>
  <si>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</si>
  <si>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</si>
  <si>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</si>
  <si>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</si>
  <si>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</si>
  <si>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</si>
  <si>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</si>
  <si>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</si>
  <si>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</si>
  <si>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</si>
  <si>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</si>
  <si>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减：购买日子公司持有的现金及现金等价物</t>
  </si>
  <si>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</si>
  <si>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</si>
  <si>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</si>
  <si>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</si>
  <si>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</si>
  <si>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</si>
  <si>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</si>
  <si>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其中：库存现金</t>
  </si>
  <si>
    <t>其中：三个月内到期的债券投资</t>
  </si>
  <si>
    <t>其中：母公司或集团内子公司使用受限制的现金及现金等价物</t>
    <phoneticPr fontId="1" type="noConversion"/>
  </si>
  <si>
    <t>受限原因</t>
  </si>
  <si>
    <t>折算汇率</t>
  </si>
  <si>
    <t>期末折算成人民币余额</t>
  </si>
  <si>
    <t>短期借款</t>
  </si>
  <si>
    <t>长期借款</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</si>
  <si>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</si>
  <si>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</si>
  <si>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</si>
  <si>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</si>
  <si>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</si>
  <si>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</si>
  <si>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</si>
  <si>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</si>
  <si>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</si>
  <si>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</si>
  <si>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</si>
  <si>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</si>
  <si>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</si>
  <si>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</si>
  <si>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</si>
  <si>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</si>
  <si>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</si>
  <si>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</si>
  <si>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</si>
  <si>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</si>
  <si>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</si>
  <si>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</si>
  <si>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</si>
  <si>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</si>
  <si>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</si>
  <si>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</si>
  <si>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</si>
  <si>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</si>
  <si>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</si>
  <si>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</si>
  <si>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</si>
  <si>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</si>
  <si>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</si>
  <si>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</si>
  <si>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</si>
  <si>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</si>
  <si>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</si>
  <si>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</si>
  <si>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</si>
  <si>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</si>
  <si>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</si>
  <si>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</si>
  <si>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</si>
  <si>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</si>
  <si>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</si>
  <si>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</si>
  <si>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</si>
  <si>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</si>
  <si>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</si>
  <si>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</si>
  <si>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</si>
  <si>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</si>
  <si>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</si>
  <si>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</si>
  <si>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</si>
  <si>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</si>
  <si>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</si>
  <si>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1"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</si>
  <si>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</si>
  <si>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</si>
  <si>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</si>
  <si>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</si>
  <si>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</si>
  <si>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</si>
  <si>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</si>
  <si>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1" type="noConversion"/>
  </si>
  <si>
    <t>匹配2</t>
    <phoneticPr fontId="31" type="noConversion"/>
  </si>
  <si>
    <t>原始</t>
    <phoneticPr fontId="31" type="noConversion"/>
  </si>
  <si>
    <t>实际</t>
    <phoneticPr fontId="31" type="noConversion"/>
  </si>
  <si>
    <r>
      <t xml:space="preserve"> </t>
    </r>
    <r>
      <rPr>
        <sz val="10"/>
        <rFont val="宋体"/>
        <family val="3"/>
        <charset val="134"/>
      </rPr>
      <t>货币资金</t>
    </r>
    <phoneticPr fontId="31" type="noConversion"/>
  </si>
  <si>
    <r>
      <t xml:space="preserve">  </t>
    </r>
    <r>
      <rPr>
        <sz val="10"/>
        <rFont val="宋体"/>
        <family val="3"/>
        <charset val="134"/>
      </rPr>
      <t>其中：现金</t>
    </r>
    <phoneticPr fontId="1" type="noConversion"/>
  </si>
  <si>
    <t>库存现金</t>
    <phoneticPr fontId="1" type="noConversion"/>
  </si>
  <si>
    <t>库存现金</t>
    <phoneticPr fontId="31" type="noConversion"/>
  </si>
  <si>
    <t>借</t>
    <phoneticPr fontId="31" type="noConversion"/>
  </si>
  <si>
    <r>
      <t xml:space="preserve">          </t>
    </r>
    <r>
      <rPr>
        <sz val="10"/>
        <rFont val="宋体"/>
        <family val="3"/>
        <charset val="134"/>
      </rPr>
      <t>银行存款</t>
    </r>
    <phoneticPr fontId="1" type="noConversion"/>
  </si>
  <si>
    <t>银行存款</t>
    <phoneticPr fontId="1" type="noConversion"/>
  </si>
  <si>
    <t>银行存款</t>
    <phoneticPr fontId="31" type="noConversion"/>
  </si>
  <si>
    <r>
      <t xml:space="preserve">          </t>
    </r>
    <r>
      <rPr>
        <sz val="10"/>
        <rFont val="宋体"/>
        <family val="3"/>
        <charset val="134"/>
      </rPr>
      <t>其他货币资金</t>
    </r>
    <phoneticPr fontId="1" type="noConversion"/>
  </si>
  <si>
    <t>其他货币资金</t>
    <phoneticPr fontId="31" type="noConversion"/>
  </si>
  <si>
    <r>
      <t xml:space="preserve"> </t>
    </r>
    <r>
      <rPr>
        <sz val="10"/>
        <rFont val="宋体"/>
        <family val="3"/>
        <charset val="134"/>
      </rPr>
      <t>结算备付金</t>
    </r>
    <phoneticPr fontId="31" type="noConversion"/>
  </si>
  <si>
    <t>结算备付金</t>
  </si>
  <si>
    <t>结算备付金</t>
    <phoneticPr fontId="31" type="noConversion"/>
  </si>
  <si>
    <r>
      <t xml:space="preserve"> </t>
    </r>
    <r>
      <rPr>
        <sz val="10"/>
        <rFont val="宋体"/>
        <family val="3"/>
        <charset val="134"/>
      </rPr>
      <t>拆出资金</t>
    </r>
    <phoneticPr fontId="31" type="noConversion"/>
  </si>
  <si>
    <t>拆出资金</t>
    <phoneticPr fontId="1" type="noConversion"/>
  </si>
  <si>
    <t>拆出资金</t>
  </si>
  <si>
    <t>交易性金融资产</t>
    <phoneticPr fontId="31" type="noConversion"/>
  </si>
  <si>
    <t>不适用</t>
    <phoneticPr fontId="1" type="noConversion"/>
  </si>
  <si>
    <t>以公允价值计量且其变动计入当期损益的金融资产</t>
    <phoneticPr fontId="31" type="noConversion"/>
  </si>
  <si>
    <t>不适用</t>
    <phoneticPr fontId="31" type="noConversion"/>
  </si>
  <si>
    <t>衍生金融资产</t>
    <phoneticPr fontId="31"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</si>
  <si>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</si>
  <si>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</si>
  <si>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</si>
  <si>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</si>
  <si>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</si>
  <si>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1" type="noConversion"/>
  </si>
  <si>
    <r>
      <t xml:space="preserve"> </t>
    </r>
    <r>
      <rPr>
        <sz val="10"/>
        <rFont val="宋体"/>
        <family val="3"/>
        <charset val="134"/>
      </rPr>
      <t>应收票据</t>
    </r>
    <phoneticPr fontId="31"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</si>
  <si>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</si>
  <si>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</si>
  <si>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</si>
  <si>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</si>
  <si>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1" type="noConversion"/>
  </si>
  <si>
    <t>应收账款</t>
    <phoneticPr fontId="31" type="noConversion"/>
  </si>
  <si>
    <t>应收款项融资</t>
    <phoneticPr fontId="31" type="noConversion"/>
  </si>
  <si>
    <r>
      <t xml:space="preserve"> </t>
    </r>
    <r>
      <rPr>
        <sz val="10"/>
        <rFont val="宋体"/>
        <family val="3"/>
        <charset val="134"/>
      </rPr>
      <t>预付款项</t>
    </r>
    <phoneticPr fontId="31" type="noConversion"/>
  </si>
  <si>
    <t>预付款项</t>
    <phoneticPr fontId="31" type="noConversion"/>
  </si>
  <si>
    <t>预付账款</t>
    <phoneticPr fontId="31" type="noConversion"/>
  </si>
  <si>
    <r>
      <t xml:space="preserve"> </t>
    </r>
    <r>
      <rPr>
        <sz val="10"/>
        <rFont val="宋体"/>
        <family val="3"/>
        <charset val="134"/>
      </rPr>
      <t>应收保费</t>
    </r>
    <phoneticPr fontId="31" type="noConversion"/>
  </si>
  <si>
    <t>应收保费</t>
  </si>
  <si>
    <r>
      <t xml:space="preserve"> </t>
    </r>
    <r>
      <rPr>
        <sz val="10"/>
        <rFont val="宋体"/>
        <family val="3"/>
        <charset val="134"/>
      </rPr>
      <t>应收分保账款</t>
    </r>
    <phoneticPr fontId="31" type="noConversion"/>
  </si>
  <si>
    <t>应收分保账款</t>
  </si>
  <si>
    <r>
      <t xml:space="preserve"> </t>
    </r>
    <r>
      <rPr>
        <sz val="10"/>
        <rFont val="宋体"/>
        <family val="3"/>
        <charset val="134"/>
      </rPr>
      <t>应收分保合同准备金</t>
    </r>
    <phoneticPr fontId="31"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</si>
  <si>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</si>
  <si>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</si>
  <si>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</si>
  <si>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</si>
  <si>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</si>
  <si>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</si>
  <si>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</si>
  <si>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</si>
  <si>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</si>
  <si>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</si>
  <si>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</si>
  <si>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</si>
  <si>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</si>
  <si>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1" type="noConversion"/>
  </si>
  <si>
    <r>
      <t xml:space="preserve"> </t>
    </r>
    <r>
      <rPr>
        <sz val="10"/>
        <rFont val="宋体"/>
        <family val="3"/>
        <charset val="134"/>
      </rPr>
      <t>买入返售金融资产</t>
    </r>
    <phoneticPr fontId="31" type="noConversion"/>
  </si>
  <si>
    <t>买入返售金融资产</t>
  </si>
  <si>
    <r>
      <t xml:space="preserve"> </t>
    </r>
    <r>
      <rPr>
        <sz val="10"/>
        <rFont val="宋体"/>
        <family val="3"/>
        <charset val="134"/>
      </rPr>
      <t>工程施工</t>
    </r>
    <phoneticPr fontId="31" type="noConversion"/>
  </si>
  <si>
    <t>工程施工</t>
    <phoneticPr fontId="31"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</si>
  <si>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</si>
  <si>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</si>
  <si>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</si>
  <si>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</si>
  <si>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</si>
  <si>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</si>
  <si>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</si>
  <si>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</si>
  <si>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</si>
  <si>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</si>
  <si>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</si>
  <si>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</si>
  <si>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</si>
  <si>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</si>
  <si>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</si>
  <si>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1"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</si>
  <si>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</si>
  <si>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</si>
  <si>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1" type="noConversion"/>
  </si>
  <si>
    <t>已完工未结算</t>
    <phoneticPr fontId="31"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</si>
  <si>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</si>
  <si>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</si>
  <si>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</si>
  <si>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</si>
  <si>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</si>
  <si>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</si>
  <si>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</si>
  <si>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</si>
  <si>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</si>
  <si>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</si>
  <si>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</si>
  <si>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</si>
  <si>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</si>
  <si>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</si>
  <si>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</si>
  <si>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</si>
  <si>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</si>
  <si>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</si>
  <si>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1" type="noConversion"/>
  </si>
  <si>
    <r>
      <t xml:space="preserve"> </t>
    </r>
    <r>
      <rPr>
        <sz val="10"/>
        <rFont val="宋体"/>
        <family val="3"/>
        <charset val="134"/>
      </rPr>
      <t>合同资产原值</t>
    </r>
    <phoneticPr fontId="31" type="noConversion"/>
  </si>
  <si>
    <t>合同资产</t>
    <phoneticPr fontId="31" type="noConversion"/>
  </si>
  <si>
    <r>
      <t xml:space="preserve"> </t>
    </r>
    <r>
      <rPr>
        <sz val="10"/>
        <rFont val="宋体"/>
        <family val="3"/>
        <charset val="134"/>
      </rPr>
      <t>减：合同资产减值准备</t>
    </r>
    <phoneticPr fontId="31" type="noConversion"/>
  </si>
  <si>
    <t>合同资产减值准备</t>
    <phoneticPr fontId="31" type="noConversion"/>
  </si>
  <si>
    <t>合同资产减值准备</t>
  </si>
  <si>
    <r>
      <t xml:space="preserve"> </t>
    </r>
    <r>
      <rPr>
        <sz val="10"/>
        <rFont val="宋体"/>
        <family val="3"/>
        <charset val="134"/>
      </rPr>
      <t>合同资产</t>
    </r>
    <phoneticPr fontId="31" type="noConversion"/>
  </si>
  <si>
    <t>持有待售资产</t>
    <phoneticPr fontId="31" type="noConversion"/>
  </si>
  <si>
    <t>持有待售资产</t>
  </si>
  <si>
    <r>
      <t xml:space="preserve"> </t>
    </r>
    <r>
      <rPr>
        <sz val="10"/>
        <rFont val="宋体"/>
        <family val="3"/>
        <charset val="134"/>
      </rPr>
      <t>一年内到期的非流动资产</t>
    </r>
    <phoneticPr fontId="31" type="noConversion"/>
  </si>
  <si>
    <t>一年内到期的非流动资产</t>
  </si>
  <si>
    <r>
      <t xml:space="preserve"> </t>
    </r>
    <r>
      <rPr>
        <sz val="10"/>
        <rFont val="宋体"/>
        <family val="3"/>
        <charset val="134"/>
      </rPr>
      <t>其他流动资产</t>
    </r>
    <phoneticPr fontId="31" type="noConversion"/>
  </si>
  <si>
    <r>
      <t xml:space="preserve">   </t>
    </r>
    <r>
      <rPr>
        <b/>
        <sz val="10"/>
        <rFont val="宋体"/>
        <family val="3"/>
        <charset val="134"/>
      </rPr>
      <t>流动资产合计</t>
    </r>
    <phoneticPr fontId="36" type="noConversion"/>
  </si>
  <si>
    <r>
      <rPr>
        <b/>
        <sz val="10"/>
        <rFont val="宋体"/>
        <family val="3"/>
        <charset val="134"/>
      </rPr>
      <t>非流动资产：</t>
    </r>
    <phoneticPr fontId="31" type="noConversion"/>
  </si>
  <si>
    <r>
      <t xml:space="preserve"> </t>
    </r>
    <r>
      <rPr>
        <sz val="10"/>
        <rFont val="宋体"/>
        <family val="3"/>
        <charset val="134"/>
      </rPr>
      <t>发放贷款和垫款</t>
    </r>
    <phoneticPr fontId="31"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</si>
  <si>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</si>
  <si>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</si>
  <si>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</si>
  <si>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</si>
  <si>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</si>
  <si>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</si>
  <si>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1" type="noConversion"/>
  </si>
  <si>
    <t>可供出售金融资产</t>
    <phoneticPr fontId="31"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</si>
  <si>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</si>
  <si>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</si>
  <si>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</si>
  <si>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</si>
  <si>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1" type="noConversion"/>
  </si>
  <si>
    <t>持有至到期投资</t>
    <phoneticPr fontId="31"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</si>
  <si>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</si>
  <si>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</si>
  <si>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</si>
  <si>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</si>
  <si>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</si>
  <si>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</si>
  <si>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1" type="noConversion"/>
  </si>
  <si>
    <r>
      <t xml:space="preserve"> </t>
    </r>
    <r>
      <rPr>
        <sz val="10"/>
        <rFont val="宋体"/>
        <family val="3"/>
        <charset val="134"/>
      </rPr>
      <t>长期股权投资原值</t>
    </r>
    <phoneticPr fontId="31" type="noConversion"/>
  </si>
  <si>
    <t>长期股权投资</t>
    <phoneticPr fontId="31" type="noConversion"/>
  </si>
  <si>
    <r>
      <t xml:space="preserve"> </t>
    </r>
    <r>
      <rPr>
        <sz val="10"/>
        <rFont val="宋体"/>
        <family val="3"/>
        <charset val="134"/>
      </rPr>
      <t>减：长期股权投资减值准备</t>
    </r>
    <phoneticPr fontId="31" type="noConversion"/>
  </si>
  <si>
    <t>长期股权投资减值准备</t>
    <phoneticPr fontId="31" type="noConversion"/>
  </si>
  <si>
    <r>
      <t xml:space="preserve"> </t>
    </r>
    <r>
      <rPr>
        <sz val="10"/>
        <rFont val="宋体"/>
        <family val="3"/>
        <charset val="134"/>
      </rPr>
      <t>长期股权投资</t>
    </r>
    <phoneticPr fontId="31" type="noConversion"/>
  </si>
  <si>
    <r>
      <t xml:space="preserve"> </t>
    </r>
    <r>
      <rPr>
        <sz val="10"/>
        <rFont val="宋体"/>
        <family val="3"/>
        <charset val="134"/>
      </rPr>
      <t>其他权益工具投资</t>
    </r>
    <phoneticPr fontId="31" type="noConversion"/>
  </si>
  <si>
    <r>
      <t xml:space="preserve"> </t>
    </r>
    <r>
      <rPr>
        <sz val="10"/>
        <rFont val="宋体"/>
        <family val="3"/>
        <charset val="134"/>
      </rPr>
      <t>其他非流动金融资产</t>
    </r>
    <phoneticPr fontId="31" type="noConversion"/>
  </si>
  <si>
    <r>
      <t xml:space="preserve"> </t>
    </r>
    <r>
      <rPr>
        <sz val="10"/>
        <rFont val="宋体"/>
        <family val="3"/>
        <charset val="134"/>
      </rPr>
      <t>投资性房地产原值</t>
    </r>
    <phoneticPr fontId="31" type="noConversion"/>
  </si>
  <si>
    <t>投资性房地产</t>
    <phoneticPr fontId="31" type="noConversion"/>
  </si>
  <si>
    <r>
      <t xml:space="preserve"> </t>
    </r>
    <r>
      <rPr>
        <sz val="10"/>
        <rFont val="宋体"/>
        <family val="3"/>
        <charset val="134"/>
      </rPr>
      <t>减：累计折旧和摊销</t>
    </r>
    <phoneticPr fontId="31" type="noConversion"/>
  </si>
  <si>
    <t>累计折旧和摊销</t>
    <phoneticPr fontId="31" type="noConversion"/>
  </si>
  <si>
    <t>累计折旧和摊销</t>
  </si>
  <si>
    <r>
      <t xml:space="preserve">      </t>
    </r>
    <r>
      <rPr>
        <sz val="10"/>
        <rFont val="宋体"/>
        <family val="3"/>
        <charset val="134"/>
      </rPr>
      <t>投资性房地产减值准备</t>
    </r>
    <phoneticPr fontId="31" type="noConversion"/>
  </si>
  <si>
    <t>投资性房地产减值准备</t>
    <phoneticPr fontId="31" type="noConversion"/>
  </si>
  <si>
    <t>投资性房地产减值准备</t>
  </si>
  <si>
    <r>
      <t xml:space="preserve"> </t>
    </r>
    <r>
      <rPr>
        <sz val="10"/>
        <rFont val="宋体"/>
        <family val="3"/>
        <charset val="134"/>
      </rPr>
      <t>投资性房地产</t>
    </r>
    <phoneticPr fontId="31"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</si>
  <si>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</si>
  <si>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</si>
  <si>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</si>
  <si>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</si>
  <si>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</si>
  <si>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</si>
  <si>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6" type="noConversion"/>
  </si>
  <si>
    <r>
      <t xml:space="preserve"> </t>
    </r>
    <r>
      <rPr>
        <sz val="10"/>
        <rFont val="宋体"/>
        <family val="3"/>
        <charset val="134"/>
      </rPr>
      <t>固定资产清理</t>
    </r>
    <phoneticPr fontId="31" type="noConversion"/>
  </si>
  <si>
    <t>固定资产清理</t>
    <phoneticPr fontId="31" type="noConversion"/>
  </si>
  <si>
    <r>
      <t xml:space="preserve"> </t>
    </r>
    <r>
      <rPr>
        <sz val="10"/>
        <rFont val="宋体"/>
        <family val="3"/>
        <charset val="134"/>
      </rPr>
      <t>在建工程</t>
    </r>
    <phoneticPr fontId="31" type="noConversion"/>
  </si>
  <si>
    <r>
      <t xml:space="preserve"> </t>
    </r>
    <r>
      <rPr>
        <sz val="10"/>
        <rFont val="宋体"/>
        <family val="3"/>
        <charset val="134"/>
      </rPr>
      <t>工程物资</t>
    </r>
    <phoneticPr fontId="31" type="noConversion"/>
  </si>
  <si>
    <t>工程物资</t>
    <phoneticPr fontId="31" type="noConversion"/>
  </si>
  <si>
    <r>
      <t xml:space="preserve"> </t>
    </r>
    <r>
      <rPr>
        <sz val="10"/>
        <rFont val="宋体"/>
        <family val="3"/>
        <charset val="134"/>
      </rPr>
      <t>生产性生物资产</t>
    </r>
    <phoneticPr fontId="31" type="noConversion"/>
  </si>
  <si>
    <t>生产性生物资产</t>
  </si>
  <si>
    <r>
      <t xml:space="preserve"> </t>
    </r>
    <r>
      <rPr>
        <sz val="10"/>
        <rFont val="宋体"/>
        <family val="3"/>
        <charset val="134"/>
      </rPr>
      <t>油气资产</t>
    </r>
    <phoneticPr fontId="31" type="noConversion"/>
  </si>
  <si>
    <t>油气资产</t>
  </si>
  <si>
    <r>
      <t xml:space="preserve"> </t>
    </r>
    <r>
      <rPr>
        <sz val="10"/>
        <rFont val="宋体"/>
        <family val="3"/>
        <charset val="134"/>
      </rPr>
      <t>使用权资产原值</t>
    </r>
    <phoneticPr fontId="31" type="noConversion"/>
  </si>
  <si>
    <t>使用权资产</t>
    <phoneticPr fontId="31" type="noConversion"/>
  </si>
  <si>
    <r>
      <t xml:space="preserve"> </t>
    </r>
    <r>
      <rPr>
        <sz val="10"/>
        <rFont val="宋体"/>
        <family val="3"/>
        <charset val="134"/>
      </rPr>
      <t>减：使用权资产累计折旧</t>
    </r>
    <phoneticPr fontId="31" type="noConversion"/>
  </si>
  <si>
    <t>使用权资产累计折旧</t>
    <phoneticPr fontId="31" type="noConversion"/>
  </si>
  <si>
    <t>使用权资产累计折旧</t>
  </si>
  <si>
    <r>
      <t xml:space="preserve">      </t>
    </r>
    <r>
      <rPr>
        <sz val="10"/>
        <rFont val="宋体"/>
        <family val="3"/>
        <charset val="134"/>
      </rPr>
      <t>使用权资产减值准备</t>
    </r>
    <phoneticPr fontId="31" type="noConversion"/>
  </si>
  <si>
    <t>使用权资产减值准备</t>
    <phoneticPr fontId="31" type="noConversion"/>
  </si>
  <si>
    <t>使用权资产减值准备</t>
  </si>
  <si>
    <r>
      <t xml:space="preserve"> </t>
    </r>
    <r>
      <rPr>
        <sz val="10"/>
        <rFont val="宋体"/>
        <family val="3"/>
        <charset val="134"/>
      </rPr>
      <t>使用权资产</t>
    </r>
    <phoneticPr fontId="31" type="noConversion"/>
  </si>
  <si>
    <r>
      <t xml:space="preserve"> </t>
    </r>
    <r>
      <rPr>
        <sz val="10"/>
        <rFont val="宋体"/>
        <family val="3"/>
        <charset val="134"/>
      </rPr>
      <t>无形资产原值</t>
    </r>
    <phoneticPr fontId="31" type="noConversion"/>
  </si>
  <si>
    <t>无形资产</t>
    <phoneticPr fontId="31" type="noConversion"/>
  </si>
  <si>
    <r>
      <t xml:space="preserve"> </t>
    </r>
    <r>
      <rPr>
        <sz val="10"/>
        <rFont val="宋体"/>
        <family val="3"/>
        <charset val="134"/>
      </rPr>
      <t>减：累计摊销</t>
    </r>
    <phoneticPr fontId="31" type="noConversion"/>
  </si>
  <si>
    <t>累计摊销</t>
    <phoneticPr fontId="31" type="noConversion"/>
  </si>
  <si>
    <r>
      <t xml:space="preserve">     </t>
    </r>
    <r>
      <rPr>
        <sz val="10"/>
        <rFont val="宋体"/>
        <family val="3"/>
        <charset val="134"/>
      </rPr>
      <t>无形资产减值准备</t>
    </r>
    <phoneticPr fontId="31" type="noConversion"/>
  </si>
  <si>
    <t>无形资产减值准备</t>
    <phoneticPr fontId="31" type="noConversion"/>
  </si>
  <si>
    <t>无形资产减值准备</t>
  </si>
  <si>
    <r>
      <t xml:space="preserve"> </t>
    </r>
    <r>
      <rPr>
        <sz val="10"/>
        <rFont val="宋体"/>
        <family val="3"/>
        <charset val="134"/>
      </rPr>
      <t>无形资产</t>
    </r>
    <phoneticPr fontId="31" type="noConversion"/>
  </si>
  <si>
    <r>
      <t xml:space="preserve"> </t>
    </r>
    <r>
      <rPr>
        <sz val="10"/>
        <rFont val="宋体"/>
        <family val="3"/>
        <charset val="134"/>
      </rPr>
      <t>开发支出</t>
    </r>
    <phoneticPr fontId="31" type="noConversion"/>
  </si>
  <si>
    <t>开发支出</t>
  </si>
  <si>
    <r>
      <t xml:space="preserve"> </t>
    </r>
    <r>
      <rPr>
        <sz val="10"/>
        <rFont val="宋体"/>
        <family val="3"/>
        <charset val="134"/>
      </rPr>
      <t>商誉原值</t>
    </r>
    <phoneticPr fontId="31" type="noConversion"/>
  </si>
  <si>
    <t>商誉</t>
    <phoneticPr fontId="31" type="noConversion"/>
  </si>
  <si>
    <t>商誉</t>
  </si>
  <si>
    <r>
      <t xml:space="preserve"> </t>
    </r>
    <r>
      <rPr>
        <sz val="10"/>
        <rFont val="宋体"/>
        <family val="3"/>
        <charset val="134"/>
      </rPr>
      <t>减：商誉减值准备</t>
    </r>
    <phoneticPr fontId="31" type="noConversion"/>
  </si>
  <si>
    <t>商誉减值准备</t>
    <phoneticPr fontId="31" type="noConversion"/>
  </si>
  <si>
    <t>商誉减值准备</t>
  </si>
  <si>
    <r>
      <t xml:space="preserve"> </t>
    </r>
    <r>
      <rPr>
        <sz val="10"/>
        <rFont val="宋体"/>
        <family val="3"/>
        <charset val="134"/>
      </rPr>
      <t>商誉</t>
    </r>
    <phoneticPr fontId="31" type="noConversion"/>
  </si>
  <si>
    <r>
      <t xml:space="preserve"> </t>
    </r>
    <r>
      <rPr>
        <sz val="10"/>
        <rFont val="宋体"/>
        <family val="3"/>
        <charset val="134"/>
      </rPr>
      <t>长期待摊费用</t>
    </r>
    <phoneticPr fontId="31" type="noConversion"/>
  </si>
  <si>
    <r>
      <t xml:space="preserve"> </t>
    </r>
    <r>
      <rPr>
        <sz val="10"/>
        <rFont val="宋体"/>
        <family val="3"/>
        <charset val="134"/>
      </rPr>
      <t>递延所得税资产</t>
    </r>
    <phoneticPr fontId="31" type="noConversion"/>
  </si>
  <si>
    <r>
      <t xml:space="preserve"> </t>
    </r>
    <r>
      <rPr>
        <sz val="10"/>
        <rFont val="宋体"/>
        <family val="3"/>
        <charset val="134"/>
      </rPr>
      <t>其他非流动资产</t>
    </r>
    <phoneticPr fontId="31" type="noConversion"/>
  </si>
  <si>
    <t>拨出专款</t>
    <phoneticPr fontId="31" type="noConversion"/>
  </si>
  <si>
    <r>
      <rPr>
        <b/>
        <sz val="10"/>
        <rFont val="宋体"/>
        <family val="3"/>
        <charset val="134"/>
      </rPr>
      <t>非流动资产合计</t>
    </r>
    <phoneticPr fontId="31" type="noConversion"/>
  </si>
  <si>
    <r>
      <t xml:space="preserve"> </t>
    </r>
    <r>
      <rPr>
        <b/>
        <sz val="10"/>
        <rFont val="宋体"/>
        <family val="3"/>
        <charset val="134"/>
      </rPr>
      <t>资产总计</t>
    </r>
    <phoneticPr fontId="31" type="noConversion"/>
  </si>
  <si>
    <r>
      <rPr>
        <b/>
        <sz val="10"/>
        <rFont val="宋体"/>
        <family val="3"/>
        <charset val="134"/>
      </rPr>
      <t>流动负债：</t>
    </r>
    <phoneticPr fontId="31" type="noConversion"/>
  </si>
  <si>
    <r>
      <t xml:space="preserve">  </t>
    </r>
    <r>
      <rPr>
        <sz val="10"/>
        <rFont val="宋体"/>
        <family val="3"/>
        <charset val="134"/>
      </rPr>
      <t>短期借款</t>
    </r>
    <r>
      <rPr>
        <sz val="10"/>
        <rFont val="Arial"/>
        <family val="2"/>
      </rPr>
      <t>  </t>
    </r>
    <phoneticPr fontId="31" type="noConversion"/>
  </si>
  <si>
    <r>
      <t xml:space="preserve"> </t>
    </r>
    <r>
      <rPr>
        <sz val="10"/>
        <rFont val="宋体"/>
        <family val="3"/>
        <charset val="134"/>
      </rPr>
      <t>向中央银行借款</t>
    </r>
    <phoneticPr fontId="36" type="noConversion"/>
  </si>
  <si>
    <t>向中央银行借款</t>
  </si>
  <si>
    <r>
      <t xml:space="preserve"> </t>
    </r>
    <r>
      <rPr>
        <sz val="10"/>
        <rFont val="宋体"/>
        <family val="3"/>
        <charset val="134"/>
      </rPr>
      <t>拆入资金</t>
    </r>
    <phoneticPr fontId="36" type="noConversion"/>
  </si>
  <si>
    <t>拆入资金</t>
  </si>
  <si>
    <t xml:space="preserve"> 交易性金融负债</t>
    <phoneticPr fontId="36" type="noConversion"/>
  </si>
  <si>
    <t xml:space="preserve"> 以公允价值计量且其变动计入当期损益的金融负债</t>
    <phoneticPr fontId="31" type="noConversion"/>
  </si>
  <si>
    <t>以公允价值计量且其变动计入当期损益的金融负债</t>
  </si>
  <si>
    <r>
      <t xml:space="preserve">  </t>
    </r>
    <r>
      <rPr>
        <sz val="10"/>
        <rFont val="宋体"/>
        <family val="3"/>
        <charset val="134"/>
      </rPr>
      <t>衍生金融负债</t>
    </r>
    <phoneticPr fontId="36" type="noConversion"/>
  </si>
  <si>
    <t>衍生金融负债</t>
  </si>
  <si>
    <r>
      <t xml:space="preserve">  </t>
    </r>
    <r>
      <rPr>
        <sz val="10"/>
        <rFont val="宋体"/>
        <family val="3"/>
        <charset val="134"/>
      </rPr>
      <t>应付票据</t>
    </r>
    <phoneticPr fontId="36" type="noConversion"/>
  </si>
  <si>
    <t xml:space="preserve"> 应付账款</t>
    <phoneticPr fontId="31" type="noConversion"/>
  </si>
  <si>
    <t>应付账款</t>
    <phoneticPr fontId="31" type="noConversion"/>
  </si>
  <si>
    <t xml:space="preserve"> 工程结算</t>
    <phoneticPr fontId="31" type="noConversion"/>
  </si>
  <si>
    <t>工程结算</t>
    <phoneticPr fontId="31" type="noConversion"/>
  </si>
  <si>
    <r>
      <t xml:space="preserve">  </t>
    </r>
    <r>
      <rPr>
        <sz val="10"/>
        <rFont val="宋体"/>
        <family val="3"/>
        <charset val="134"/>
      </rPr>
      <t>预收款项</t>
    </r>
    <phoneticPr fontId="36" type="noConversion"/>
  </si>
  <si>
    <t>预收款项</t>
    <phoneticPr fontId="31" type="noConversion"/>
  </si>
  <si>
    <t>预收账款</t>
    <phoneticPr fontId="31" type="noConversion"/>
  </si>
  <si>
    <r>
      <t xml:space="preserve">  </t>
    </r>
    <r>
      <rPr>
        <sz val="10"/>
        <rFont val="宋体"/>
        <family val="3"/>
        <charset val="134"/>
      </rPr>
      <t>卖出回购金融资产款</t>
    </r>
    <phoneticPr fontId="36" type="noConversion"/>
  </si>
  <si>
    <t>卖出回购金融资产款</t>
  </si>
  <si>
    <t xml:space="preserve"> 吸收存款及同业存放</t>
    <phoneticPr fontId="31" type="noConversion"/>
  </si>
  <si>
    <t>吸收存款及同业存放</t>
  </si>
  <si>
    <r>
      <t xml:space="preserve">  </t>
    </r>
    <r>
      <rPr>
        <sz val="10"/>
        <rFont val="宋体"/>
        <family val="3"/>
        <charset val="134"/>
      </rPr>
      <t>代理买卖证券款</t>
    </r>
    <phoneticPr fontId="36" type="noConversion"/>
  </si>
  <si>
    <t>代理买卖证券款</t>
  </si>
  <si>
    <r>
      <t xml:space="preserve">  </t>
    </r>
    <r>
      <rPr>
        <sz val="10"/>
        <rFont val="宋体"/>
        <family val="3"/>
        <charset val="134"/>
      </rPr>
      <t>代理承销证券款</t>
    </r>
    <phoneticPr fontId="36" type="noConversion"/>
  </si>
  <si>
    <t>代理承销证券款</t>
  </si>
  <si>
    <r>
      <t xml:space="preserve">  </t>
    </r>
    <r>
      <rPr>
        <sz val="10"/>
        <rFont val="宋体"/>
        <family val="3"/>
        <charset val="134"/>
      </rPr>
      <t>应付职工薪酬</t>
    </r>
    <phoneticPr fontId="36" type="noConversion"/>
  </si>
  <si>
    <r>
      <t xml:space="preserve">  </t>
    </r>
    <r>
      <rPr>
        <sz val="10"/>
        <rFont val="宋体"/>
        <family val="3"/>
        <charset val="134"/>
      </rPr>
      <t>应交税费</t>
    </r>
    <phoneticPr fontId="36" type="noConversion"/>
  </si>
  <si>
    <r>
      <t xml:space="preserve">  </t>
    </r>
    <r>
      <rPr>
        <sz val="10"/>
        <rFont val="宋体"/>
        <family val="3"/>
        <charset val="134"/>
      </rPr>
      <t>应付利息</t>
    </r>
    <phoneticPr fontId="31" type="noConversion"/>
  </si>
  <si>
    <t>应付利息</t>
    <phoneticPr fontId="31" type="noConversion"/>
  </si>
  <si>
    <r>
      <t xml:space="preserve">  </t>
    </r>
    <r>
      <rPr>
        <sz val="10"/>
        <rFont val="宋体"/>
        <family val="3"/>
        <charset val="134"/>
      </rPr>
      <t>应付股利</t>
    </r>
    <phoneticPr fontId="31" type="noConversion"/>
  </si>
  <si>
    <t>应付股利</t>
    <phoneticPr fontId="31" type="noConversion"/>
  </si>
  <si>
    <r>
      <t xml:space="preserve">  </t>
    </r>
    <r>
      <rPr>
        <sz val="10"/>
        <rFont val="宋体"/>
        <family val="3"/>
        <charset val="134"/>
      </rPr>
      <t>其他应付款</t>
    </r>
    <phoneticPr fontId="36" type="noConversion"/>
  </si>
  <si>
    <r>
      <t xml:space="preserve">  </t>
    </r>
    <r>
      <rPr>
        <sz val="10"/>
        <rFont val="宋体"/>
        <family val="3"/>
        <charset val="134"/>
      </rPr>
      <t>应付手续费及佣金</t>
    </r>
    <phoneticPr fontId="36" type="noConversion"/>
  </si>
  <si>
    <t>应付手续费及佣金</t>
  </si>
  <si>
    <r>
      <t xml:space="preserve">  </t>
    </r>
    <r>
      <rPr>
        <sz val="10"/>
        <rFont val="宋体"/>
        <family val="3"/>
        <charset val="134"/>
      </rPr>
      <t>应付分保账款</t>
    </r>
    <phoneticPr fontId="36" type="noConversion"/>
  </si>
  <si>
    <t>应付分保账款</t>
  </si>
  <si>
    <r>
      <t xml:space="preserve">  </t>
    </r>
    <r>
      <rPr>
        <sz val="10"/>
        <rFont val="宋体"/>
        <family val="3"/>
        <charset val="134"/>
      </rPr>
      <t>合同负债</t>
    </r>
    <phoneticPr fontId="31" type="noConversion"/>
  </si>
  <si>
    <r>
      <t xml:space="preserve">  </t>
    </r>
    <r>
      <rPr>
        <sz val="10"/>
        <rFont val="宋体"/>
        <family val="3"/>
        <charset val="134"/>
      </rPr>
      <t>持有待售负债</t>
    </r>
    <phoneticPr fontId="36" type="noConversion"/>
  </si>
  <si>
    <t>持有待售负债</t>
  </si>
  <si>
    <r>
      <t xml:space="preserve">  </t>
    </r>
    <r>
      <rPr>
        <sz val="10"/>
        <rFont val="宋体"/>
        <family val="3"/>
        <charset val="134"/>
      </rPr>
      <t>一年内到期的非流动负债</t>
    </r>
    <phoneticPr fontId="36" type="noConversion"/>
  </si>
  <si>
    <t>一年内到期的非流动负债</t>
  </si>
  <si>
    <r>
      <t xml:space="preserve">  </t>
    </r>
    <r>
      <rPr>
        <sz val="10"/>
        <rFont val="宋体"/>
        <family val="3"/>
        <charset val="134"/>
      </rPr>
      <t>其他流动负债</t>
    </r>
    <phoneticPr fontId="31" type="noConversion"/>
  </si>
  <si>
    <t>其他流动负债</t>
  </si>
  <si>
    <r>
      <t xml:space="preserve">   </t>
    </r>
    <r>
      <rPr>
        <b/>
        <sz val="10"/>
        <rFont val="宋体"/>
        <family val="3"/>
        <charset val="134"/>
      </rPr>
      <t>流动负债合计</t>
    </r>
    <phoneticPr fontId="31" type="noConversion"/>
  </si>
  <si>
    <r>
      <rPr>
        <b/>
        <sz val="10"/>
        <rFont val="宋体"/>
        <family val="3"/>
        <charset val="134"/>
      </rPr>
      <t>非流动负债：</t>
    </r>
    <phoneticPr fontId="31" type="noConversion"/>
  </si>
  <si>
    <r>
      <t xml:space="preserve">  </t>
    </r>
    <r>
      <rPr>
        <sz val="10"/>
        <rFont val="宋体"/>
        <family val="3"/>
        <charset val="134"/>
      </rPr>
      <t>保险合同准备金</t>
    </r>
    <phoneticPr fontId="31" type="noConversion"/>
  </si>
  <si>
    <t>保险合同准备金</t>
  </si>
  <si>
    <r>
      <t xml:space="preserve">  </t>
    </r>
    <r>
      <rPr>
        <sz val="10"/>
        <rFont val="宋体"/>
        <family val="3"/>
        <charset val="134"/>
      </rPr>
      <t>长期借款</t>
    </r>
    <phoneticPr fontId="31" type="noConversion"/>
  </si>
  <si>
    <r>
      <t xml:space="preserve">  </t>
    </r>
    <r>
      <rPr>
        <sz val="10"/>
        <rFont val="宋体"/>
        <family val="3"/>
        <charset val="134"/>
      </rPr>
      <t>应付债券</t>
    </r>
    <phoneticPr fontId="31" type="noConversion"/>
  </si>
  <si>
    <r>
      <t xml:space="preserve">  </t>
    </r>
    <r>
      <rPr>
        <sz val="10"/>
        <rFont val="宋体"/>
        <family val="3"/>
        <charset val="134"/>
      </rPr>
      <t>其中：应付账款-优先股</t>
    </r>
    <phoneticPr fontId="31" type="noConversion"/>
  </si>
  <si>
    <t>优先股</t>
    <phoneticPr fontId="1" type="noConversion"/>
  </si>
  <si>
    <t>优先股</t>
  </si>
  <si>
    <t xml:space="preserve">      应付账款-永续债</t>
    <phoneticPr fontId="31" type="noConversion"/>
  </si>
  <si>
    <t>永续债</t>
  </si>
  <si>
    <t xml:space="preserve"> 租赁负债</t>
    <phoneticPr fontId="31" type="noConversion"/>
  </si>
  <si>
    <t xml:space="preserve"> 专项应付款</t>
    <phoneticPr fontId="31" type="noConversion"/>
  </si>
  <si>
    <t>专项应付款</t>
    <phoneticPr fontId="31"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</si>
  <si>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</si>
  <si>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</si>
  <si>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</si>
  <si>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</si>
  <si>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</si>
  <si>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</si>
  <si>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1" type="noConversion"/>
  </si>
  <si>
    <r>
      <t xml:space="preserve">  </t>
    </r>
    <r>
      <rPr>
        <sz val="10"/>
        <rFont val="宋体"/>
        <family val="3"/>
        <charset val="134"/>
      </rPr>
      <t>长期应付职工薪酬</t>
    </r>
    <phoneticPr fontId="31" type="noConversion"/>
  </si>
  <si>
    <t>长期应付职工薪酬</t>
  </si>
  <si>
    <r>
      <t xml:space="preserve">  </t>
    </r>
    <r>
      <rPr>
        <sz val="10"/>
        <rFont val="宋体"/>
        <family val="3"/>
        <charset val="134"/>
      </rPr>
      <t>预计负债</t>
    </r>
    <phoneticPr fontId="31" type="noConversion"/>
  </si>
  <si>
    <t>预计负债</t>
  </si>
  <si>
    <r>
      <t xml:space="preserve">  </t>
    </r>
    <r>
      <rPr>
        <sz val="10"/>
        <rFont val="宋体"/>
        <family val="3"/>
        <charset val="134"/>
      </rPr>
      <t>递延收益</t>
    </r>
    <phoneticPr fontId="31" type="noConversion"/>
  </si>
  <si>
    <r>
      <t xml:space="preserve">  </t>
    </r>
    <r>
      <rPr>
        <sz val="10"/>
        <rFont val="宋体"/>
        <family val="3"/>
        <charset val="134"/>
      </rPr>
      <t>递延所得税负债</t>
    </r>
    <phoneticPr fontId="36" type="noConversion"/>
  </si>
  <si>
    <r>
      <t xml:space="preserve">  </t>
    </r>
    <r>
      <rPr>
        <sz val="10"/>
        <rFont val="宋体"/>
        <family val="3"/>
        <charset val="134"/>
      </rPr>
      <t>其他非流动负债</t>
    </r>
    <phoneticPr fontId="31" type="noConversion"/>
  </si>
  <si>
    <r>
      <t xml:space="preserve">   </t>
    </r>
    <r>
      <rPr>
        <b/>
        <sz val="10"/>
        <rFont val="宋体"/>
        <family val="3"/>
        <charset val="134"/>
      </rPr>
      <t>非流动负债合计</t>
    </r>
    <phoneticPr fontId="31" type="noConversion"/>
  </si>
  <si>
    <r>
      <t xml:space="preserve">     </t>
    </r>
    <r>
      <rPr>
        <b/>
        <sz val="10"/>
        <rFont val="宋体"/>
        <family val="3"/>
        <charset val="134"/>
      </rPr>
      <t>负债合计</t>
    </r>
    <phoneticPr fontId="31" type="noConversion"/>
  </si>
  <si>
    <r>
      <rPr>
        <b/>
        <sz val="10"/>
        <rFont val="宋体"/>
        <family val="3"/>
        <charset val="134"/>
      </rPr>
      <t>股东权益</t>
    </r>
    <r>
      <rPr>
        <b/>
        <sz val="10"/>
        <rFont val="宋体"/>
        <family val="3"/>
        <charset val="134"/>
      </rPr>
      <t>：</t>
    </r>
    <phoneticPr fontId="31" type="noConversion"/>
  </si>
  <si>
    <r>
      <t xml:space="preserve">  </t>
    </r>
    <r>
      <rPr>
        <sz val="10"/>
        <rFont val="宋体"/>
        <family val="3"/>
        <charset val="134"/>
      </rPr>
      <t>股本</t>
    </r>
    <phoneticPr fontId="31" type="noConversion"/>
  </si>
  <si>
    <t>实收资本</t>
    <phoneticPr fontId="31" type="noConversion"/>
  </si>
  <si>
    <r>
      <t xml:space="preserve">  </t>
    </r>
    <r>
      <rPr>
        <sz val="10"/>
        <rFont val="宋体"/>
        <family val="3"/>
        <charset val="134"/>
      </rPr>
      <t>其他权益工具</t>
    </r>
    <phoneticPr fontId="31" type="noConversion"/>
  </si>
  <si>
    <t>其他权益工具</t>
  </si>
  <si>
    <r>
      <t xml:space="preserve">  </t>
    </r>
    <r>
      <rPr>
        <sz val="10"/>
        <rFont val="宋体"/>
        <family val="3"/>
        <charset val="134"/>
      </rPr>
      <t>其中：优先股</t>
    </r>
    <phoneticPr fontId="31" type="noConversion"/>
  </si>
  <si>
    <r>
      <t xml:space="preserve">            </t>
    </r>
    <r>
      <rPr>
        <sz val="10"/>
        <rFont val="宋体"/>
        <family val="3"/>
        <charset val="134"/>
      </rPr>
      <t>永续债</t>
    </r>
    <phoneticPr fontId="31" type="noConversion"/>
  </si>
  <si>
    <r>
      <t xml:space="preserve">  </t>
    </r>
    <r>
      <rPr>
        <sz val="10"/>
        <rFont val="宋体"/>
        <family val="3"/>
        <charset val="134"/>
      </rPr>
      <t>资本公积</t>
    </r>
    <phoneticPr fontId="31" type="noConversion"/>
  </si>
  <si>
    <r>
      <t xml:space="preserve">  </t>
    </r>
    <r>
      <rPr>
        <sz val="10"/>
        <rFont val="宋体"/>
        <family val="3"/>
        <charset val="134"/>
      </rPr>
      <t>减：库存股</t>
    </r>
    <phoneticPr fontId="31" type="noConversion"/>
  </si>
  <si>
    <t>库存股</t>
    <phoneticPr fontId="1" type="noConversion"/>
  </si>
  <si>
    <t>库存股</t>
  </si>
  <si>
    <r>
      <t xml:space="preserve">  </t>
    </r>
    <r>
      <rPr>
        <sz val="10"/>
        <rFont val="宋体"/>
        <family val="3"/>
        <charset val="134"/>
      </rPr>
      <t>其他综合收益</t>
    </r>
    <phoneticPr fontId="31" type="noConversion"/>
  </si>
  <si>
    <r>
      <t xml:space="preserve">  </t>
    </r>
    <r>
      <rPr>
        <sz val="10"/>
        <rFont val="宋体"/>
        <family val="3"/>
        <charset val="134"/>
      </rPr>
      <t>专项储备</t>
    </r>
    <phoneticPr fontId="31" type="noConversion"/>
  </si>
  <si>
    <t>专项储备</t>
  </si>
  <si>
    <r>
      <t xml:space="preserve">  </t>
    </r>
    <r>
      <rPr>
        <sz val="10"/>
        <rFont val="宋体"/>
        <family val="3"/>
        <charset val="134"/>
      </rPr>
      <t>盈余公积</t>
    </r>
    <phoneticPr fontId="31" type="noConversion"/>
  </si>
  <si>
    <r>
      <t xml:space="preserve">  </t>
    </r>
    <r>
      <rPr>
        <sz val="10"/>
        <rFont val="宋体"/>
        <family val="3"/>
        <charset val="134"/>
      </rPr>
      <t>一般风险准备</t>
    </r>
    <phoneticPr fontId="31" type="noConversion"/>
  </si>
  <si>
    <t>一般风险准备</t>
  </si>
  <si>
    <r>
      <t xml:space="preserve">  </t>
    </r>
    <r>
      <rPr>
        <sz val="10"/>
        <rFont val="宋体"/>
        <family val="3"/>
        <charset val="134"/>
      </rPr>
      <t>未分配利润</t>
    </r>
    <phoneticPr fontId="31" type="noConversion"/>
  </si>
  <si>
    <r>
      <t xml:space="preserve">  </t>
    </r>
    <r>
      <rPr>
        <sz val="10"/>
        <rFont val="宋体"/>
        <family val="3"/>
        <charset val="134"/>
      </rPr>
      <t>归属于母公司股东权益合计</t>
    </r>
    <phoneticPr fontId="31" type="noConversion"/>
  </si>
  <si>
    <r>
      <t xml:space="preserve"> </t>
    </r>
    <r>
      <rPr>
        <sz val="10"/>
        <rFont val="宋体"/>
        <family val="3"/>
        <charset val="134"/>
      </rPr>
      <t>少数股东权益</t>
    </r>
    <phoneticPr fontId="31" type="noConversion"/>
  </si>
  <si>
    <t>少数股东权益</t>
  </si>
  <si>
    <t>股东权益合计</t>
    <phoneticPr fontId="31" type="noConversion"/>
  </si>
  <si>
    <t>负债和股东权益总计</t>
    <phoneticPr fontId="31" type="noConversion"/>
  </si>
  <si>
    <t>一、营业总收入</t>
    <phoneticPr fontId="31" type="noConversion"/>
  </si>
  <si>
    <t xml:space="preserve">  其中：营业收入</t>
    <phoneticPr fontId="31" type="noConversion"/>
  </si>
  <si>
    <t>营业收入</t>
  </si>
  <si>
    <t xml:space="preserve">        其中：主营业务收入</t>
    <phoneticPr fontId="31" type="noConversion"/>
  </si>
  <si>
    <t>主营业务收入</t>
    <phoneticPr fontId="31" type="noConversion"/>
  </si>
  <si>
    <t xml:space="preserve">              其他业务收入</t>
    <phoneticPr fontId="31" type="noConversion"/>
  </si>
  <si>
    <t>其他业务收入</t>
    <phoneticPr fontId="31" type="noConversion"/>
  </si>
  <si>
    <t xml:space="preserve">       利息收入</t>
    <phoneticPr fontId="31" type="noConversion"/>
  </si>
  <si>
    <t xml:space="preserve">       已赚保费</t>
    <phoneticPr fontId="31" type="noConversion"/>
  </si>
  <si>
    <t>已赚保费</t>
  </si>
  <si>
    <t xml:space="preserve">       手续费及佣金收入</t>
    <phoneticPr fontId="31" type="noConversion"/>
  </si>
  <si>
    <t>手续费及佣金收入</t>
  </si>
  <si>
    <t>二、营业总成本</t>
    <phoneticPr fontId="31" type="noConversion"/>
  </si>
  <si>
    <r>
      <t xml:space="preserve">  </t>
    </r>
    <r>
      <rPr>
        <sz val="10"/>
        <rFont val="宋体"/>
        <family val="3"/>
        <charset val="134"/>
      </rPr>
      <t xml:space="preserve">  其中：营业成本</t>
    </r>
    <phoneticPr fontId="31" type="noConversion"/>
  </si>
  <si>
    <t>营业成本</t>
    <phoneticPr fontId="1" type="noConversion"/>
  </si>
  <si>
    <t>营业成本</t>
  </si>
  <si>
    <r>
      <t xml:space="preserve">        </t>
    </r>
    <r>
      <rPr>
        <sz val="10"/>
        <rFont val="宋体"/>
        <family val="3"/>
        <charset val="134"/>
      </rPr>
      <t>其中：主营业务成本</t>
    </r>
    <phoneticPr fontId="31" type="noConversion"/>
  </si>
  <si>
    <t>主营业务成本</t>
    <phoneticPr fontId="31" type="noConversion"/>
  </si>
  <si>
    <r>
      <t xml:space="preserve">               </t>
    </r>
    <r>
      <rPr>
        <sz val="10"/>
        <rFont val="宋体"/>
        <family val="3"/>
        <charset val="134"/>
      </rPr>
      <t>其他业务成本</t>
    </r>
    <phoneticPr fontId="31" type="noConversion"/>
  </si>
  <si>
    <t>其他业务成本</t>
    <phoneticPr fontId="31" type="noConversion"/>
  </si>
  <si>
    <r>
      <t xml:space="preserve">             </t>
    </r>
    <r>
      <rPr>
        <sz val="10"/>
        <rFont val="宋体"/>
        <family val="3"/>
        <charset val="134"/>
      </rPr>
      <t>利息支出</t>
    </r>
    <phoneticPr fontId="31" type="noConversion"/>
  </si>
  <si>
    <r>
      <t xml:space="preserve">             </t>
    </r>
    <r>
      <rPr>
        <sz val="10"/>
        <rFont val="宋体"/>
        <family val="3"/>
        <charset val="134"/>
      </rPr>
      <t>手续费及佣金支出</t>
    </r>
    <phoneticPr fontId="31" type="noConversion"/>
  </si>
  <si>
    <t>手续费及佣金支出</t>
  </si>
  <si>
    <r>
      <t xml:space="preserve">             </t>
    </r>
    <r>
      <rPr>
        <sz val="10"/>
        <rFont val="宋体"/>
        <family val="3"/>
        <charset val="134"/>
      </rPr>
      <t>退保金</t>
    </r>
    <phoneticPr fontId="31" type="noConversion"/>
  </si>
  <si>
    <t>退保金</t>
  </si>
  <si>
    <r>
      <t xml:space="preserve">             </t>
    </r>
    <r>
      <rPr>
        <sz val="10"/>
        <rFont val="宋体"/>
        <family val="3"/>
        <charset val="134"/>
      </rPr>
      <t>赔付支出净额</t>
    </r>
    <phoneticPr fontId="31" type="noConversion"/>
  </si>
  <si>
    <t>赔付支出净额</t>
  </si>
  <si>
    <r>
      <t xml:space="preserve">             </t>
    </r>
    <r>
      <rPr>
        <sz val="10"/>
        <rFont val="宋体"/>
        <family val="3"/>
        <charset val="134"/>
      </rPr>
      <t>提取保险责任备金净额</t>
    </r>
    <phoneticPr fontId="31" type="noConversion"/>
  </si>
  <si>
    <t>提取保险责任备金净额</t>
  </si>
  <si>
    <r>
      <t xml:space="preserve">             </t>
    </r>
    <r>
      <rPr>
        <sz val="10"/>
        <rFont val="宋体"/>
        <family val="3"/>
        <charset val="134"/>
      </rPr>
      <t>保单红利支出</t>
    </r>
    <phoneticPr fontId="31" type="noConversion"/>
  </si>
  <si>
    <t>保单红利支出</t>
  </si>
  <si>
    <r>
      <t xml:space="preserve">             </t>
    </r>
    <r>
      <rPr>
        <sz val="10"/>
        <rFont val="宋体"/>
        <family val="3"/>
        <charset val="134"/>
      </rPr>
      <t>分保费用</t>
    </r>
    <phoneticPr fontId="31" type="noConversion"/>
  </si>
  <si>
    <t>分保费用</t>
  </si>
  <si>
    <r>
      <t xml:space="preserve">             </t>
    </r>
    <r>
      <rPr>
        <sz val="10"/>
        <rFont val="宋体"/>
        <family val="3"/>
        <charset val="134"/>
      </rPr>
      <t>税金及附加</t>
    </r>
    <phoneticPr fontId="36" type="noConversion"/>
  </si>
  <si>
    <t>税金及附加</t>
    <phoneticPr fontId="31" type="noConversion"/>
  </si>
  <si>
    <r>
      <t xml:space="preserve">             </t>
    </r>
    <r>
      <rPr>
        <sz val="10"/>
        <rFont val="宋体"/>
        <family val="3"/>
        <charset val="134"/>
      </rPr>
      <t>销售费用</t>
    </r>
    <phoneticPr fontId="36" type="noConversion"/>
  </si>
  <si>
    <r>
      <t xml:space="preserve">             </t>
    </r>
    <r>
      <rPr>
        <sz val="10"/>
        <rFont val="宋体"/>
        <family val="3"/>
        <charset val="134"/>
      </rPr>
      <t>管理费用</t>
    </r>
    <phoneticPr fontId="36" type="noConversion"/>
  </si>
  <si>
    <r>
      <t xml:space="preserve">             </t>
    </r>
    <r>
      <rPr>
        <sz val="10"/>
        <rFont val="宋体"/>
        <family val="3"/>
        <charset val="134"/>
      </rPr>
      <t>研发费用</t>
    </r>
    <phoneticPr fontId="31" type="noConversion"/>
  </si>
  <si>
    <t>研发费用</t>
  </si>
  <si>
    <r>
      <t xml:space="preserve">             </t>
    </r>
    <r>
      <rPr>
        <sz val="10"/>
        <rFont val="宋体"/>
        <family val="3"/>
        <charset val="134"/>
      </rPr>
      <t>财务费用</t>
    </r>
    <phoneticPr fontId="36" type="noConversion"/>
  </si>
  <si>
    <r>
      <t xml:space="preserve">   </t>
    </r>
    <r>
      <rPr>
        <sz val="10"/>
        <rFont val="宋体"/>
        <family val="3"/>
        <charset val="134"/>
      </rPr>
      <t>加：其他收益</t>
    </r>
    <phoneticPr fontId="36"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</si>
  <si>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</si>
  <si>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</si>
  <si>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投资收益</t>
    <phoneticPr fontId="1" type="noConversion"/>
  </si>
  <si>
    <r>
      <t xml:space="preserve">         </t>
    </r>
    <r>
      <rPr>
        <sz val="10"/>
        <rFont val="宋体"/>
        <family val="3"/>
        <charset val="134"/>
      </rPr>
      <t>其中：对联营企业和合营企业的投资收益</t>
    </r>
    <phoneticPr fontId="36" type="noConversion"/>
  </si>
  <si>
    <r>
      <t xml:space="preserve">                   </t>
    </r>
    <r>
      <rPr>
        <sz val="10"/>
        <rFont val="宋体"/>
        <family val="3"/>
        <charset val="134"/>
      </rPr>
      <t>以摊余成本计量的金融资产终止确认收益（损失以“－”号填列）</t>
    </r>
    <phoneticPr fontId="31" type="noConversion"/>
  </si>
  <si>
    <r>
      <t xml:space="preserve">         </t>
    </r>
    <r>
      <rPr>
        <sz val="10"/>
        <rFont val="宋体"/>
        <family val="3"/>
        <charset val="134"/>
      </rPr>
      <t>净敞口套期收益（损失以“－”号填列）</t>
    </r>
    <phoneticPr fontId="31" type="noConversion"/>
  </si>
  <si>
    <t>净敞口套期收益</t>
    <phoneticPr fontId="1" type="noConversion"/>
  </si>
  <si>
    <t>净敞口套期收益</t>
  </si>
  <si>
    <r>
      <t xml:space="preserve">         </t>
    </r>
    <r>
      <rPr>
        <sz val="10"/>
        <rFont val="宋体"/>
        <family val="3"/>
        <charset val="134"/>
      </rPr>
      <t>公允价值变动收益（损失以“－”号填列）</t>
    </r>
    <phoneticPr fontId="31" type="noConversion"/>
  </si>
  <si>
    <t>公允价值变动收益</t>
    <phoneticPr fontId="1" type="noConversion"/>
  </si>
  <si>
    <t>公允价值变动收益</t>
  </si>
  <si>
    <r>
      <t xml:space="preserve">         </t>
    </r>
    <r>
      <rPr>
        <sz val="10"/>
        <rFont val="宋体"/>
        <family val="3"/>
        <charset val="134"/>
      </rPr>
      <t>信用减值损失（损失以“－”号填列）</t>
    </r>
    <phoneticPr fontId="31"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</si>
  <si>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</si>
  <si>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</si>
  <si>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</si>
  <si>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资产减值损失</t>
    <phoneticPr fontId="1" type="noConversion"/>
  </si>
  <si>
    <r>
      <t xml:space="preserve">         </t>
    </r>
    <r>
      <rPr>
        <sz val="10"/>
        <rFont val="宋体"/>
        <family val="3"/>
        <charset val="134"/>
      </rPr>
      <t>资产处置收益（损失以“－”号填列）</t>
    </r>
    <phoneticPr fontId="31" type="noConversion"/>
  </si>
  <si>
    <t>资产处置收益</t>
    <phoneticPr fontId="1" type="noConversion"/>
  </si>
  <si>
    <r>
      <t xml:space="preserve">         </t>
    </r>
    <r>
      <rPr>
        <sz val="10"/>
        <rFont val="宋体"/>
        <family val="3"/>
        <charset val="134"/>
      </rPr>
      <t>汇兑收益（损失以“－”号填列）</t>
    </r>
    <phoneticPr fontId="31"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</si>
  <si>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</si>
  <si>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</si>
  <si>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</si>
  <si>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r>
      <t xml:space="preserve">    </t>
    </r>
    <r>
      <rPr>
        <sz val="10"/>
        <rFont val="宋体"/>
        <family val="3"/>
        <charset val="134"/>
      </rPr>
      <t>加：营业外收入</t>
    </r>
    <phoneticPr fontId="36" type="noConversion"/>
  </si>
  <si>
    <t>营业外收入</t>
    <phoneticPr fontId="1" type="noConversion"/>
  </si>
  <si>
    <r>
      <t xml:space="preserve">    </t>
    </r>
    <r>
      <rPr>
        <sz val="10"/>
        <rFont val="宋体"/>
        <family val="3"/>
        <charset val="134"/>
      </rPr>
      <t>减：营业外支出</t>
    </r>
    <phoneticPr fontId="36"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</si>
  <si>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</si>
  <si>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1" type="noConversion"/>
  </si>
  <si>
    <r>
      <t xml:space="preserve">    </t>
    </r>
    <r>
      <rPr>
        <sz val="10"/>
        <rFont val="宋体"/>
        <family val="3"/>
        <charset val="134"/>
      </rPr>
      <t>减：所得税费用</t>
    </r>
    <phoneticPr fontId="36"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</si>
  <si>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</si>
  <si>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t>（一）按经营持续性分类</t>
    <phoneticPr fontId="31" type="noConversion"/>
  </si>
  <si>
    <r>
      <t xml:space="preserve">    1</t>
    </r>
    <r>
      <rPr>
        <sz val="10"/>
        <rFont val="宋体"/>
        <family val="3"/>
        <charset val="134"/>
      </rPr>
      <t>、持续经营净利润（净亏损以“－”号填列）</t>
    </r>
    <phoneticPr fontId="31" type="noConversion"/>
  </si>
  <si>
    <r>
      <t xml:space="preserve">    2</t>
    </r>
    <r>
      <rPr>
        <sz val="10"/>
        <rFont val="宋体"/>
        <family val="3"/>
        <charset val="134"/>
      </rPr>
      <t>、终止经营净利润（净亏损以“－”号填列）</t>
    </r>
    <phoneticPr fontId="31" type="noConversion"/>
  </si>
  <si>
    <t>（二）按所有权归属分类</t>
    <phoneticPr fontId="31" type="noConversion"/>
  </si>
  <si>
    <r>
      <t xml:space="preserve">    1</t>
    </r>
    <r>
      <rPr>
        <sz val="10"/>
        <rFont val="宋体"/>
        <family val="3"/>
        <charset val="134"/>
      </rPr>
      <t>、归属于母公司股东的净利润（净亏损以“－”号填列）</t>
    </r>
    <phoneticPr fontId="36" type="noConversion"/>
  </si>
  <si>
    <t>归属于母公司所有者的净利润</t>
  </si>
  <si>
    <r>
      <t xml:space="preserve">    2</t>
    </r>
    <r>
      <rPr>
        <sz val="10"/>
        <rFont val="宋体"/>
        <family val="3"/>
        <charset val="134"/>
      </rPr>
      <t>、少数股东损益（净亏损以“－”号填列）</t>
    </r>
    <phoneticPr fontId="36" type="noConversion"/>
  </si>
  <si>
    <t>少数股东损益</t>
  </si>
  <si>
    <t>六、其他综合收益的税后净额</t>
    <phoneticPr fontId="31" type="noConversion"/>
  </si>
  <si>
    <t xml:space="preserve"> 归属母公司股东的其他综合收益的税后净额</t>
    <phoneticPr fontId="31" type="noConversion"/>
  </si>
  <si>
    <t>(一)不能重分类进损益的其他综合收益</t>
    <phoneticPr fontId="31" type="noConversion"/>
  </si>
  <si>
    <t>1、重新计量设定受益计划变动额</t>
    <phoneticPr fontId="31" type="noConversion"/>
  </si>
  <si>
    <t>2、权益法下不能转损益的其他综合收益</t>
    <phoneticPr fontId="31" type="noConversion"/>
  </si>
  <si>
    <t>3、其他权益工具投资公允价值变动</t>
    <phoneticPr fontId="31" type="noConversion"/>
  </si>
  <si>
    <t>4、企业自身信用风险公允价值变动</t>
    <phoneticPr fontId="31" type="noConversion"/>
  </si>
  <si>
    <t>5、其他</t>
    <phoneticPr fontId="31" type="noConversion"/>
  </si>
  <si>
    <t>(二)将重分类进损益的其他综合收益</t>
    <phoneticPr fontId="31" type="noConversion"/>
  </si>
  <si>
    <t>1、权益法下可转损益的其他综合收益</t>
    <phoneticPr fontId="31" type="noConversion"/>
  </si>
  <si>
    <t>2、其他债权投资公允价值变动</t>
    <phoneticPr fontId="31" type="noConversion"/>
  </si>
  <si>
    <t>3、可供出售金融资产公允价值变动损益</t>
    <phoneticPr fontId="31" type="noConversion"/>
  </si>
  <si>
    <t>4、金融资产重分类计入其他综合收益的金额</t>
    <phoneticPr fontId="31" type="noConversion"/>
  </si>
  <si>
    <t>5、持有至到期投资重分类为可供出售金融资产损益</t>
    <phoneticPr fontId="31" type="noConversion"/>
  </si>
  <si>
    <t>6、其他债权投资信用减值准备</t>
    <phoneticPr fontId="31" type="noConversion"/>
  </si>
  <si>
    <t>7、现金流量套期储备（现金流量套期损益的有效部分）</t>
    <phoneticPr fontId="31" type="noConversion"/>
  </si>
  <si>
    <r>
      <t>8</t>
    </r>
    <r>
      <rPr>
        <b/>
        <sz val="10"/>
        <rFont val="宋体"/>
        <family val="3"/>
        <charset val="134"/>
      </rPr>
      <t>、外币财务报表折算差额</t>
    </r>
    <phoneticPr fontId="31" type="noConversion"/>
  </si>
  <si>
    <t>9、其他</t>
    <phoneticPr fontId="31" type="noConversion"/>
  </si>
  <si>
    <t>归属于少数股东的其他综合收益的税后净额</t>
    <phoneticPr fontId="31" type="noConversion"/>
  </si>
  <si>
    <t>七、综合收益总额</t>
    <phoneticPr fontId="31" type="noConversion"/>
  </si>
  <si>
    <r>
      <t xml:space="preserve">   </t>
    </r>
    <r>
      <rPr>
        <sz val="10"/>
        <rFont val="宋体"/>
        <family val="3"/>
        <charset val="134"/>
      </rPr>
      <t>归属于母公司股东的综合收益总额</t>
    </r>
    <phoneticPr fontId="36" type="noConversion"/>
  </si>
  <si>
    <r>
      <t xml:space="preserve">   </t>
    </r>
    <r>
      <rPr>
        <sz val="10"/>
        <rFont val="宋体"/>
        <family val="3"/>
        <charset val="134"/>
      </rPr>
      <t>归属于少数股东的综合收益总额</t>
    </r>
    <phoneticPr fontId="36" type="noConversion"/>
  </si>
  <si>
    <t>八、每股收益：</t>
    <phoneticPr fontId="31"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</si>
  <si>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6"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</si>
  <si>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6" type="noConversion"/>
  </si>
  <si>
    <t>账面年初未分配利润</t>
    <phoneticPr fontId="31" type="noConversion"/>
  </si>
  <si>
    <t>年初未分配利润</t>
    <phoneticPr fontId="31" type="noConversion"/>
  </si>
  <si>
    <t>年初未分配利润调整</t>
    <phoneticPr fontId="31" type="noConversion"/>
  </si>
  <si>
    <t>年初未分配利润</t>
    <phoneticPr fontId="36" type="noConversion"/>
  </si>
  <si>
    <t>利润分配</t>
    <phoneticPr fontId="31" type="noConversion"/>
  </si>
  <si>
    <t>九、可供分配的利润</t>
    <phoneticPr fontId="36" type="noConversion"/>
  </si>
  <si>
    <t>减：提取法定盈余公积</t>
    <phoneticPr fontId="36" type="noConversion"/>
  </si>
  <si>
    <t>利润分配--提取法定盈余公积</t>
  </si>
  <si>
    <t>提取法定公益金</t>
    <phoneticPr fontId="36" type="noConversion"/>
  </si>
  <si>
    <t>利润分配--提取法定公益金</t>
  </si>
  <si>
    <t>提取职工奖励及福利基金</t>
    <phoneticPr fontId="36" type="noConversion"/>
  </si>
  <si>
    <t>利润分配--提取职工奖励及福利基金</t>
  </si>
  <si>
    <t>提取储备基金</t>
    <phoneticPr fontId="36" type="noConversion"/>
  </si>
  <si>
    <t>利润分配--提取储备基金</t>
  </si>
  <si>
    <t>提取企业发展基金</t>
    <phoneticPr fontId="36" type="noConversion"/>
  </si>
  <si>
    <t>利润分配--提取企业发展基金</t>
  </si>
  <si>
    <t>利润归还投资</t>
    <phoneticPr fontId="36" type="noConversion"/>
  </si>
  <si>
    <t>利润分配--利润归还投资</t>
  </si>
  <si>
    <t>十、可供投资者分配的利润</t>
    <phoneticPr fontId="36" type="noConversion"/>
  </si>
  <si>
    <t xml:space="preserve">减：应付优先股股利 </t>
    <phoneticPr fontId="36" type="noConversion"/>
  </si>
  <si>
    <t xml:space="preserve">利润分配--应付优先股股利 </t>
  </si>
  <si>
    <t>提取任意盈余公积</t>
    <phoneticPr fontId="36" type="noConversion"/>
  </si>
  <si>
    <t>利润分配--提取任意盈余公积</t>
  </si>
  <si>
    <t>应付普通股股利</t>
    <phoneticPr fontId="36" type="noConversion"/>
  </si>
  <si>
    <t>利润分配--应付普通股股利</t>
  </si>
  <si>
    <t>转作资本的普通股股利</t>
    <phoneticPr fontId="36" type="noConversion"/>
  </si>
  <si>
    <t>利润分配--转作资本的普通股股利</t>
  </si>
  <si>
    <t>十一、未分配利润</t>
    <phoneticPr fontId="36" type="noConversion"/>
  </si>
  <si>
    <r>
      <rPr>
        <sz val="10"/>
        <rFont val="等线"/>
        <family val="2"/>
      </rPr>
      <t>校验</t>
    </r>
    <phoneticPr fontId="1" type="noConversion"/>
  </si>
  <si>
    <r>
      <rPr>
        <sz val="10"/>
        <rFont val="等线"/>
        <family val="2"/>
      </rPr>
      <t>年初未分配利润比较</t>
    </r>
    <phoneticPr fontId="31"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</si>
  <si>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</si>
  <si>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</si>
  <si>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</si>
  <si>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</si>
  <si>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</si>
  <si>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</si>
  <si>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</si>
  <si>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</si>
  <si>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</si>
  <si>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</si>
  <si>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</si>
  <si>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</si>
  <si>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</si>
  <si>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</si>
  <si>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</si>
  <si>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</si>
  <si>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</si>
  <si>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</si>
  <si>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</si>
  <si>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</si>
  <si>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</si>
  <si>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</si>
  <si>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</si>
  <si>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</si>
  <si>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</si>
  <si>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</si>
  <si>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</si>
  <si>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</si>
  <si>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</si>
  <si>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</si>
  <si>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</si>
  <si>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</si>
  <si>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</si>
  <si>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</si>
  <si>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</si>
  <si>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</si>
  <si>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</si>
  <si>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</si>
  <si>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</si>
  <si>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</si>
  <si>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</si>
  <si>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</si>
  <si>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</si>
  <si>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</si>
  <si>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</si>
  <si>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</si>
  <si>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</si>
  <si>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</si>
  <si>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</si>
  <si>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</si>
  <si>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</si>
  <si>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</si>
  <si>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</si>
  <si>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</si>
  <si>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</si>
  <si>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</si>
  <si>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</si>
  <si>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</si>
  <si>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</si>
  <si>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</si>
  <si>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</si>
  <si>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</si>
  <si>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</si>
  <si>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</si>
  <si>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</si>
  <si>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</si>
  <si>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</si>
  <si>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</si>
  <si>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</si>
  <si>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</si>
  <si>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</si>
  <si>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</si>
  <si>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</si>
  <si>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</si>
  <si>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</si>
  <si>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</si>
  <si>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</si>
  <si>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</si>
  <si>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</si>
  <si>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</si>
  <si>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</si>
  <si>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</si>
  <si>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</si>
  <si>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</si>
  <si>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</si>
  <si>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</si>
  <si>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</si>
  <si>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</si>
  <si>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</si>
  <si>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</si>
  <si>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</si>
  <si>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</si>
  <si>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</si>
  <si>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</si>
  <si>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</si>
  <si>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</si>
  <si>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</si>
  <si>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</si>
  <si>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</si>
  <si>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</si>
  <si>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</si>
  <si>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</si>
  <si>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</si>
  <si>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</si>
  <si>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</si>
  <si>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</si>
  <si>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</si>
  <si>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</si>
  <si>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</si>
  <si>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</si>
  <si>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</si>
  <si>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</si>
  <si>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</si>
  <si>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</si>
  <si>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</si>
  <si>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</si>
  <si>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</si>
  <si>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</si>
  <si>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</si>
  <si>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</si>
  <si>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</si>
  <si>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</si>
  <si>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</si>
  <si>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</si>
  <si>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</si>
  <si>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</si>
  <si>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</si>
  <si>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</si>
  <si>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</si>
  <si>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</si>
  <si>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</si>
  <si>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</si>
  <si>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</si>
  <si>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</si>
  <si>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</si>
  <si>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</si>
  <si>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</si>
  <si>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</si>
  <si>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</si>
  <si>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</si>
  <si>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</si>
  <si>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</si>
  <si>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</si>
  <si>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</si>
  <si>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</si>
  <si>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</si>
  <si>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</si>
  <si>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</si>
  <si>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</si>
  <si>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</si>
  <si>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</si>
  <si>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</si>
  <si>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</si>
  <si>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</si>
  <si>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</si>
  <si>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</si>
  <si>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</si>
  <si>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</si>
  <si>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</si>
  <si>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</si>
  <si>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</si>
  <si>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</si>
  <si>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</si>
  <si>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</si>
  <si>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</si>
  <si>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</si>
  <si>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</si>
  <si>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</si>
  <si>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</si>
  <si>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</si>
  <si>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</si>
  <si>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</si>
  <si>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</si>
  <si>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</si>
  <si>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</si>
  <si>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</si>
  <si>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</si>
  <si>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</si>
  <si>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</si>
  <si>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</si>
  <si>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</si>
  <si>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</si>
  <si>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</si>
  <si>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</si>
  <si>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</si>
  <si>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</si>
  <si>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</si>
  <si>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</si>
  <si>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</si>
  <si>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</si>
  <si>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</si>
  <si>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</si>
  <si>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</si>
  <si>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</si>
  <si>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</si>
  <si>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</si>
  <si>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</si>
  <si>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</si>
  <si>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</si>
  <si>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</si>
  <si>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</si>
  <si>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</si>
  <si>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</si>
  <si>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</si>
  <si>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</si>
  <si>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</si>
  <si>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</si>
  <si>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</si>
  <si>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</si>
  <si>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</si>
  <si>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</si>
  <si>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</si>
  <si>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</si>
  <si>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</si>
  <si>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</si>
  <si>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</si>
  <si>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</si>
  <si>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</si>
  <si>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</si>
  <si>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</si>
  <si>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</si>
  <si>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</si>
  <si>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</si>
  <si>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</si>
  <si>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</si>
  <si>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</si>
  <si>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</si>
  <si>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</si>
  <si>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</si>
  <si>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</si>
  <si>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</si>
  <si>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</si>
  <si>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</si>
  <si>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</si>
  <si>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</si>
  <si>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</si>
  <si>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</si>
  <si>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</si>
  <si>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</si>
  <si>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</si>
  <si>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</si>
  <si>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</si>
  <si>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</si>
  <si>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</si>
  <si>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</si>
  <si>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</si>
  <si>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</si>
  <si>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</si>
  <si>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</si>
  <si>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</si>
  <si>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</si>
  <si>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</si>
  <si>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</si>
  <si>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</si>
  <si>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</si>
  <si>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</si>
  <si>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</si>
  <si>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</si>
  <si>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</si>
  <si>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</si>
  <si>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</si>
  <si>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</si>
  <si>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</si>
  <si>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</si>
  <si>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</si>
  <si>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</si>
  <si>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</si>
  <si>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</si>
  <si>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</si>
  <si>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</si>
  <si>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</si>
  <si>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</si>
  <si>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</si>
  <si>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</si>
  <si>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</si>
  <si>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</si>
  <si>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</si>
  <si>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</si>
  <si>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</si>
  <si>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</si>
  <si>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</si>
  <si>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</si>
  <si>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</si>
  <si>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</si>
  <si>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</si>
  <si>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</si>
  <si>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</si>
  <si>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</si>
  <si>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</si>
  <si>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</si>
  <si>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</si>
  <si>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</si>
  <si>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</si>
  <si>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</si>
  <si>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</si>
  <si>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</si>
  <si>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</si>
  <si>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</si>
  <si>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</si>
  <si>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</si>
  <si>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</si>
  <si>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</si>
  <si>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</si>
  <si>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</si>
  <si>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</si>
  <si>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</si>
  <si>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</si>
  <si>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</si>
  <si>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</si>
  <si>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</si>
  <si>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审定报表分析性复核</t>
    <phoneticPr fontId="1" type="noConversion"/>
  </si>
  <si>
    <t xml:space="preserve">索引号： </t>
    <phoneticPr fontId="36" type="noConversion"/>
  </si>
  <si>
    <t>2270</t>
    <phoneticPr fontId="36" type="noConversion"/>
  </si>
  <si>
    <t>页次：</t>
    <phoneticPr fontId="36" type="noConversion"/>
  </si>
  <si>
    <t>项目：重要性确定表</t>
    <phoneticPr fontId="36" type="noConversion"/>
  </si>
  <si>
    <t xml:space="preserve">编制人： </t>
    <phoneticPr fontId="36" type="noConversion"/>
  </si>
  <si>
    <t>日期：</t>
  </si>
  <si>
    <t xml:space="preserve">复核人： </t>
    <phoneticPr fontId="36" type="noConversion"/>
  </si>
  <si>
    <t>根据底稿分类管理的规定，针对所有类别企业本底稿均由项目合伙人审批。</t>
    <phoneticPr fontId="36" type="noConversion"/>
  </si>
  <si>
    <t>一、重要性水平计量基础的考虑</t>
    <phoneticPr fontId="36" type="noConversion"/>
  </si>
  <si>
    <t>基础项目（注1）</t>
    <phoneticPr fontId="36" type="noConversion"/>
  </si>
  <si>
    <t>采用该基础确定整体重要性时考虑因素</t>
    <phoneticPr fontId="36" type="noConversion"/>
  </si>
  <si>
    <t>金额</t>
    <phoneticPr fontId="36" type="noConversion"/>
  </si>
  <si>
    <t>净资产</t>
    <phoneticPr fontId="1" type="noConversion"/>
  </si>
  <si>
    <t>国有企业，资产较大，盈利水平较低，国有资本保值增值要求高</t>
    <phoneticPr fontId="1" type="noConversion"/>
  </si>
  <si>
    <t>其他</t>
    <phoneticPr fontId="36" type="noConversion"/>
  </si>
  <si>
    <t>二、财务报表整体重要性的确定</t>
    <phoneticPr fontId="36" type="noConversion"/>
  </si>
  <si>
    <t>1、确定基准</t>
    <phoneticPr fontId="36" type="noConversion"/>
  </si>
  <si>
    <t>基础金额</t>
    <phoneticPr fontId="36" type="noConversion"/>
  </si>
  <si>
    <t>基本理由</t>
    <phoneticPr fontId="36" type="noConversion"/>
  </si>
  <si>
    <t>适用比率</t>
    <phoneticPr fontId="36" type="noConversion"/>
  </si>
  <si>
    <t>计算数值</t>
    <phoneticPr fontId="36" type="noConversion"/>
  </si>
  <si>
    <t>国有企业舞弊风险较低</t>
    <phoneticPr fontId="1" type="noConversion"/>
  </si>
  <si>
    <t>2、定性因素对整体重要性的影响</t>
    <phoneticPr fontId="36" type="noConversion"/>
  </si>
  <si>
    <t>定性因素</t>
    <phoneticPr fontId="36" type="noConversion"/>
  </si>
  <si>
    <t>影响说明</t>
    <phoneticPr fontId="36" type="noConversion"/>
  </si>
  <si>
    <t>3、最终确定的整体重要性金额（取整数）</t>
    <phoneticPr fontId="36" type="noConversion"/>
  </si>
  <si>
    <t>三、特定类别的交易、账户余额或披露的重要性的确定（如适用）</t>
    <phoneticPr fontId="36" type="noConversion"/>
  </si>
  <si>
    <t>特定类别的交易、账户余额或披露</t>
    <phoneticPr fontId="36" type="noConversion"/>
  </si>
  <si>
    <t>确定的重要性</t>
    <phoneticPr fontId="36" type="noConversion"/>
  </si>
  <si>
    <t>考虑因素</t>
    <phoneticPr fontId="36" type="noConversion"/>
  </si>
  <si>
    <t>四、实际执行的重要性的确定</t>
    <phoneticPr fontId="36" type="noConversion"/>
  </si>
  <si>
    <t>确定的整体重要性金额</t>
    <phoneticPr fontId="36" type="noConversion"/>
  </si>
  <si>
    <t>参考比率</t>
    <phoneticPr fontId="36" type="noConversion"/>
  </si>
  <si>
    <t>如整体审计风险为低</t>
    <phoneticPr fontId="36" type="noConversion"/>
  </si>
  <si>
    <t>【75%】</t>
    <phoneticPr fontId="36" type="noConversion"/>
  </si>
  <si>
    <t>如整体审计风险为高</t>
    <phoneticPr fontId="36" type="noConversion"/>
  </si>
  <si>
    <t>【50%】</t>
    <phoneticPr fontId="36" type="noConversion"/>
  </si>
  <si>
    <t>最终确定的实际执行的重要性金额（取整数）</t>
    <phoneticPr fontId="36" type="noConversion"/>
  </si>
  <si>
    <t>五、实际执行的特定类别的交易、账户余额或披露的重要性的确定（如适用）</t>
    <phoneticPr fontId="36" type="noConversion"/>
  </si>
  <si>
    <t>确定的实际执行的重要性</t>
    <phoneticPr fontId="36" type="noConversion"/>
  </si>
  <si>
    <t>六、未更正错报名义金额的确定</t>
    <phoneticPr fontId="36" type="noConversion"/>
  </si>
  <si>
    <t>当实际执行的重要性水平设为财务报表整体重要性水平的50%</t>
  </si>
  <si>
    <t>【5%】</t>
    <phoneticPr fontId="36" type="noConversion"/>
  </si>
  <si>
    <r>
      <t>当实际执行的重要性水平设为财务报表整体重要性水平的</t>
    </r>
    <r>
      <rPr>
        <sz val="10.5"/>
        <rFont val="宋体"/>
        <family val="3"/>
        <charset val="134"/>
      </rPr>
      <t>75%</t>
    </r>
  </si>
  <si>
    <t>【3%】</t>
    <phoneticPr fontId="36" type="noConversion"/>
  </si>
  <si>
    <t>最终确定的未更正错报水平金额（取整数）</t>
    <phoneticPr fontId="36" type="noConversion"/>
  </si>
  <si>
    <t>七、审计过程中对重要性的修改（如适用）</t>
    <phoneticPr fontId="36" type="noConversion"/>
  </si>
  <si>
    <t>1、审计过程中获知的可能导致修改重要性的信息</t>
    <phoneticPr fontId="36" type="noConversion"/>
  </si>
  <si>
    <t>2、修改后的整体重要性</t>
    <phoneticPr fontId="36" type="noConversion"/>
  </si>
  <si>
    <t>3、修改后实际执行的整体重要性</t>
    <phoneticPr fontId="36" type="noConversion"/>
  </si>
  <si>
    <t>4、修改后的特定类别的交易、账户余额或披露的重要性水平（如适用）</t>
    <phoneticPr fontId="36" type="noConversion"/>
  </si>
  <si>
    <t>修改后重要性水平</t>
    <phoneticPr fontId="36" type="noConversion"/>
  </si>
  <si>
    <t>5、修改后实际执行的特定类别的交易、账户余额或披露的重要性水平（如适用）</t>
    <phoneticPr fontId="36" type="noConversion"/>
  </si>
  <si>
    <t>修改后实际执行的重要性水平</t>
    <phoneticPr fontId="36" type="noConversion"/>
  </si>
  <si>
    <t>修改依据</t>
    <phoneticPr fontId="36" type="noConversion"/>
  </si>
  <si>
    <t>6、修改后的未更正错报水平</t>
    <phoneticPr fontId="36" type="noConversion"/>
  </si>
  <si>
    <t>项目合伙人：</t>
    <phoneticPr fontId="36" type="noConversion"/>
  </si>
  <si>
    <t>项目质量控制复核人（如适用）：</t>
    <phoneticPr fontId="36" type="noConversion"/>
  </si>
  <si>
    <r>
      <rPr>
        <sz val="10"/>
        <color indexed="12"/>
        <rFont val="宋体"/>
        <family val="3"/>
        <charset val="134"/>
      </rPr>
      <t>编制说明：（详细参见“技术指引-重要性水平的确定”）：</t>
    </r>
    <phoneticPr fontId="36" type="noConversion"/>
  </si>
  <si>
    <r>
      <t>1</t>
    </r>
    <r>
      <rPr>
        <sz val="10"/>
        <color indexed="12"/>
        <rFont val="宋体"/>
        <family val="3"/>
        <charset val="134"/>
      </rPr>
      <t>、确定财务报表整体重要性的基准取决于被审计单位的基本情况，参考基准和比例如下：</t>
    </r>
    <phoneticPr fontId="36" type="noConversion"/>
  </si>
  <si>
    <r>
      <rPr>
        <sz val="10"/>
        <rFont val="宋体"/>
        <family val="3"/>
        <charset val="134"/>
      </rPr>
      <t>项目</t>
    </r>
    <phoneticPr fontId="36" type="noConversion"/>
  </si>
  <si>
    <r>
      <rPr>
        <sz val="10"/>
        <rFont val="宋体"/>
        <family val="3"/>
        <charset val="134"/>
      </rPr>
      <t>比率取值范围</t>
    </r>
    <phoneticPr fontId="36"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</si>
  <si>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</si>
  <si>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</si>
  <si>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</si>
  <si>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</si>
  <si>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</si>
  <si>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</si>
  <si>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</si>
  <si>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</si>
  <si>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</si>
  <si>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</si>
  <si>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</si>
  <si>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</si>
  <si>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6"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</si>
  <si>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6"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</si>
  <si>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</si>
  <si>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</si>
  <si>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</si>
  <si>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</si>
  <si>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</si>
  <si>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</si>
  <si>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</si>
  <si>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</si>
  <si>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</si>
  <si>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</si>
  <si>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</si>
  <si>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</si>
  <si>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</si>
  <si>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</si>
  <si>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</si>
  <si>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递延所得税资产</t>
    <phoneticPr fontId="1" type="noConversion"/>
  </si>
  <si>
    <t>递延所得税负债</t>
    <phoneticPr fontId="1" type="noConversion"/>
  </si>
  <si>
    <t>投资性房地产累计折旧</t>
    <phoneticPr fontId="1" type="noConversion"/>
  </si>
  <si>
    <t>投资性房地产减值准备</t>
    <phoneticPr fontId="1" type="noConversion"/>
  </si>
  <si>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</si>
  <si>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</si>
  <si>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</si>
  <si>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</si>
  <si>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</si>
  <si>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</si>
  <si>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</si>
  <si>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</si>
  <si>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</si>
  <si>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</si>
  <si>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</si>
  <si>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</si>
  <si>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</si>
  <si>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</si>
  <si>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</si>
  <si>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</si>
  <si>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</si>
  <si>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</si>
  <si>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</si>
  <si>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</si>
  <si>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</si>
  <si>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</si>
  <si>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</si>
  <si>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出租方名称</t>
  </si>
  <si>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</si>
  <si>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</si>
  <si>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</si>
  <si>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</si>
  <si>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</si>
  <si>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</si>
  <si>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</si>
  <si>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</si>
  <si>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</si>
  <si>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</si>
  <si>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</si>
  <si>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</si>
  <si>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</si>
  <si>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</si>
  <si>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</si>
  <si>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</si>
  <si>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</si>
  <si>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</si>
  <si>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</si>
  <si>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</si>
  <si>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</si>
  <si>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</si>
  <si>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股权取得方式</t>
  </si>
  <si>
    <t>购买日的确定依据</t>
  </si>
  <si>
    <t>购买日至年末被购买方的收入</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</si>
  <si>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</si>
  <si>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</si>
  <si>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</si>
  <si>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</si>
  <si>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</si>
  <si>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</si>
  <si>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</si>
  <si>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</si>
  <si>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</si>
  <si>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</si>
  <si>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</si>
  <si>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</si>
  <si>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</si>
  <si>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</si>
  <si>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</si>
  <si>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</si>
  <si>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</si>
  <si>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</si>
  <si>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</si>
  <si>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</si>
  <si>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比较期间被合并方的收入</t>
  </si>
  <si>
    <t>比较期间被合并方的净利润</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</si>
  <si>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</si>
  <si>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</si>
  <si>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</si>
  <si>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</si>
  <si>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</si>
  <si>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</si>
  <si>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</si>
  <si>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</si>
  <si>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</si>
  <si>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</si>
  <si>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</si>
  <si>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</si>
  <si>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</si>
  <si>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</si>
  <si>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</si>
  <si>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出资比例</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</si>
  <si>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</si>
  <si>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</si>
  <si>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</si>
  <si>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</si>
  <si>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</si>
  <si>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</si>
  <si>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</si>
  <si>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</si>
  <si>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</si>
  <si>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</si>
  <si>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购买成本/处置对价</t>
  </si>
  <si>
    <t>购买成本/处置对价合计</t>
  </si>
  <si>
    <t>减：按取得/处置的股权比例计算的子公司净资产份额</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</si>
  <si>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</si>
  <si>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</si>
  <si>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</si>
  <si>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</si>
  <si>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</si>
  <si>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</si>
  <si>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</si>
  <si>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</si>
  <si>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</si>
  <si>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</si>
  <si>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</si>
  <si>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</si>
  <si>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</si>
  <si>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</si>
  <si>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</si>
  <si>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</si>
  <si>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</si>
  <si>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</si>
  <si>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</si>
  <si>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</si>
  <si>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</si>
  <si>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</si>
  <si>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</si>
  <si>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</si>
  <si>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</si>
  <si>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</si>
  <si>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</si>
  <si>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</si>
  <si>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</si>
  <si>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</si>
  <si>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</si>
  <si>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</si>
  <si>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</si>
  <si>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</si>
  <si>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</si>
  <si>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</si>
  <si>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</si>
  <si>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</si>
  <si>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</si>
  <si>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</si>
  <si>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</si>
  <si>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</si>
  <si>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</si>
  <si>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</si>
  <si>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</si>
  <si>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</si>
  <si>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</si>
  <si>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</si>
  <si>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</si>
  <si>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债务工具投资</t>
  </si>
  <si>
    <t>持续以公允价值计量的资产总额</t>
  </si>
  <si>
    <t>发行的交易性债券</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</si>
  <si>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</si>
  <si>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</si>
  <si>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</si>
  <si>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</si>
  <si>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</si>
  <si>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</si>
  <si>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</si>
  <si>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</si>
  <si>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</si>
  <si>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</si>
  <si>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</si>
  <si>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</si>
  <si>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</si>
  <si>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</si>
  <si>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</si>
  <si>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</si>
  <si>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</si>
  <si>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</si>
  <si>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</si>
  <si>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</si>
  <si>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</si>
  <si>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</si>
  <si>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</si>
  <si>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</si>
  <si>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</si>
  <si>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</si>
  <si>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</si>
  <si>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</si>
  <si>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</si>
  <si>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</si>
  <si>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</si>
  <si>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</si>
  <si>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</si>
  <si>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</si>
  <si>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</si>
  <si>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</si>
  <si>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</si>
  <si>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</si>
  <si>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</si>
  <si>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</si>
  <si>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</si>
  <si>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</si>
  <si>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占总销售额的比重</t>
  </si>
  <si>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</si>
  <si>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</si>
  <si>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</si>
  <si>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</si>
  <si>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</si>
  <si>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</si>
  <si>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</si>
  <si>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</si>
  <si>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</si>
  <si>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</si>
  <si>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</si>
  <si>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</si>
  <si>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</si>
  <si>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</si>
  <si>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</si>
  <si>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</si>
  <si>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</si>
  <si>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</si>
  <si>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</si>
  <si>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</si>
  <si>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</si>
  <si>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</si>
  <si>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</si>
  <si>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</si>
  <si>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</si>
  <si>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</si>
  <si>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</si>
  <si>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</si>
  <si>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</si>
  <si>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</si>
  <si>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</si>
  <si>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</si>
  <si>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</si>
  <si>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</si>
  <si>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</si>
  <si>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</si>
  <si>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</si>
  <si>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</si>
  <si>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</si>
  <si>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</si>
  <si>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</si>
  <si>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</si>
  <si>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</si>
  <si>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</si>
  <si>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</si>
  <si>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</si>
  <si>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</si>
  <si>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</si>
  <si>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</si>
  <si>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</si>
  <si>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</si>
  <si>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</si>
  <si>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</si>
  <si>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</si>
  <si>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</si>
  <si>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</si>
  <si>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</si>
  <si>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</si>
  <si>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</si>
  <si>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</si>
  <si>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</si>
  <si>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</si>
  <si>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</si>
  <si>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</si>
  <si>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</si>
  <si>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</si>
  <si>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</si>
  <si>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</si>
  <si>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</si>
  <si>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</si>
  <si>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</si>
  <si>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</si>
  <si>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</si>
  <si>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</si>
  <si>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</si>
  <si>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</si>
  <si>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</si>
  <si>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</si>
  <si>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</si>
  <si>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</si>
  <si>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</si>
  <si>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</si>
  <si>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</si>
  <si>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</si>
  <si>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</si>
  <si>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</si>
  <si>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</si>
  <si>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</si>
  <si>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</si>
  <si>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</si>
  <si>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</si>
  <si>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</si>
  <si>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</si>
  <si>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</si>
  <si>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</si>
  <si>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</si>
  <si>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</si>
  <si>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</si>
  <si>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</si>
  <si>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</si>
  <si>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</si>
  <si>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</si>
  <si>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</si>
  <si>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</si>
  <si>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</si>
  <si>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</si>
  <si>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</si>
  <si>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</si>
  <si>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</si>
  <si>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</si>
  <si>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</si>
  <si>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</si>
  <si>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</si>
  <si>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</si>
  <si>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</si>
  <si>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</si>
  <si>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</si>
  <si>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</si>
  <si>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</si>
  <si>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</si>
  <si>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</si>
  <si>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</si>
  <si>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</si>
  <si>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</si>
  <si>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</si>
  <si>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</si>
  <si>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</si>
  <si>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</si>
  <si>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</si>
  <si>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</si>
  <si>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</si>
  <si>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</si>
  <si>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</si>
  <si>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</si>
  <si>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</si>
  <si>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</si>
  <si>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</si>
  <si>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</si>
  <si>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</si>
  <si>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</si>
  <si>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</si>
  <si>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</si>
  <si>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</si>
  <si>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</si>
  <si>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</si>
  <si>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</si>
  <si>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</si>
  <si>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</si>
  <si>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</si>
  <si>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</si>
  <si>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</si>
  <si>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</si>
  <si>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</si>
  <si>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</si>
  <si>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</si>
  <si>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</si>
  <si>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</si>
  <si>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</si>
  <si>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</si>
  <si>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</si>
  <si>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</si>
  <si>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</si>
  <si>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</si>
  <si>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</si>
  <si>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</si>
  <si>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</si>
  <si>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</si>
  <si>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</si>
  <si>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</si>
  <si>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</si>
  <si>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</si>
  <si>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</si>
  <si>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</si>
  <si>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</si>
  <si>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</si>
  <si>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</si>
  <si>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</si>
  <si>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</si>
  <si>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</si>
  <si>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</si>
  <si>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</si>
  <si>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</si>
  <si>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</si>
  <si>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</si>
  <si>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</si>
  <si>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</si>
  <si>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</si>
  <si>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</si>
  <si>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</si>
  <si>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</si>
  <si>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</si>
  <si>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</si>
  <si>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</si>
  <si>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</si>
  <si>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</si>
  <si>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</si>
  <si>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</si>
  <si>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</si>
  <si>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</si>
  <si>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</si>
  <si>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</si>
  <si>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</si>
  <si>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</si>
  <si>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</si>
  <si>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</si>
  <si>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</si>
  <si>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</si>
  <si>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</si>
  <si>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</si>
  <si>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</si>
  <si>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</si>
  <si>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</si>
  <si>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</si>
  <si>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</si>
  <si>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</si>
  <si>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</si>
  <si>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</si>
  <si>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</si>
  <si>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</si>
  <si>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</si>
  <si>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</si>
  <si>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</si>
  <si>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</si>
  <si>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</si>
  <si>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</si>
  <si>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</si>
  <si>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</si>
  <si>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</si>
  <si>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</si>
  <si>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</si>
  <si>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</si>
  <si>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</si>
  <si>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</si>
  <si>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</si>
  <si>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</si>
  <si>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</si>
  <si>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</si>
  <si>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</si>
  <si>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</si>
  <si>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</si>
  <si>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</si>
  <si>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</si>
  <si>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</si>
  <si>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</si>
  <si>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</si>
  <si>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</si>
  <si>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</si>
  <si>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</si>
  <si>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</si>
  <si>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</si>
  <si>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</si>
  <si>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</si>
  <si>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</si>
  <si>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</si>
  <si>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</si>
  <si>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</si>
  <si>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</si>
  <si>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</si>
  <si>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</si>
  <si>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</si>
  <si>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</si>
  <si>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</si>
  <si>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</si>
  <si>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</si>
  <si>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</si>
  <si>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</si>
  <si>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</si>
  <si>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</si>
  <si>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</si>
  <si>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</si>
  <si>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</si>
  <si>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</si>
  <si>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</si>
  <si>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</si>
  <si>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</si>
  <si>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</si>
  <si>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</si>
  <si>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</si>
  <si>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</si>
  <si>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</si>
  <si>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</si>
  <si>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</si>
  <si>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</si>
  <si>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</si>
  <si>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</si>
  <si>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</si>
  <si>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</si>
  <si>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</si>
  <si>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</si>
  <si>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</si>
  <si>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</si>
  <si>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</si>
  <si>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</si>
  <si>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</si>
  <si>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</si>
  <si>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</si>
  <si>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</si>
  <si>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</si>
  <si>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</si>
  <si>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</si>
  <si>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</si>
  <si>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</si>
  <si>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</si>
  <si>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</si>
  <si>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</si>
  <si>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</si>
  <si>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</si>
  <si>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</si>
  <si>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</si>
  <si>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质押借款（定期存单等）</t>
  </si>
  <si>
    <t>抵押</t>
  </si>
  <si>
    <t>诉讼冻结</t>
  </si>
  <si>
    <t>矿山环境恢复治理保证金</t>
  </si>
  <si>
    <t>矿山安全生产风险抵押保证金</t>
  </si>
  <si>
    <t>坏账准备计提方式</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</si>
  <si>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</si>
  <si>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</si>
  <si>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</si>
  <si>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</si>
  <si>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</si>
  <si>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</si>
  <si>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</si>
  <si>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</si>
  <si>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</si>
  <si>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</si>
  <si>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</si>
  <si>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</si>
  <si>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</si>
  <si>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</si>
  <si>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</si>
  <si>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</si>
  <si>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</si>
  <si>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</si>
  <si>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</si>
  <si>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</si>
  <si>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</si>
  <si>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</si>
  <si>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</si>
  <si>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</si>
  <si>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</si>
  <si>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</si>
  <si>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</si>
  <si>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</si>
  <si>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</si>
  <si>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</si>
  <si>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</si>
  <si>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</si>
  <si>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</si>
  <si>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</si>
  <si>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外购商品</t>
  </si>
  <si>
    <t>房地产开发成本</t>
  </si>
  <si>
    <t>房地产开发产品</t>
  </si>
  <si>
    <t>临时设施</t>
  </si>
  <si>
    <t>项目研发支出</t>
  </si>
  <si>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</si>
  <si>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</si>
  <si>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</si>
  <si>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</si>
  <si>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</si>
  <si>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</si>
  <si>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</si>
  <si>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</si>
  <si>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</si>
  <si>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</si>
  <si>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</si>
  <si>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委托贷款利息</t>
  </si>
  <si>
    <t>银行存款利息</t>
  </si>
  <si>
    <t>债券投资利息</t>
  </si>
  <si>
    <t>分期收款利息</t>
  </si>
  <si>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</si>
  <si>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</si>
  <si>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</si>
  <si>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</si>
  <si>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</si>
  <si>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</si>
  <si>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</si>
  <si>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</si>
  <si>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</si>
  <si>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</si>
  <si>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</si>
  <si>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</si>
  <si>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</si>
  <si>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</si>
  <si>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</si>
  <si>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</si>
  <si>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</si>
  <si>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长期应收款类别</t>
    <phoneticPr fontId="1" type="noConversion"/>
  </si>
  <si>
    <t>经营租赁长期应收款</t>
  </si>
  <si>
    <t>BT.BOT项目款</t>
  </si>
  <si>
    <t>原值</t>
    <phoneticPr fontId="1" type="noConversion"/>
  </si>
  <si>
    <t>软件</t>
  </si>
  <si>
    <t>商标权</t>
  </si>
  <si>
    <t>著作权</t>
  </si>
  <si>
    <t>特许权</t>
  </si>
  <si>
    <t>长期股权投资减值</t>
  </si>
  <si>
    <t>预提费用</t>
  </si>
  <si>
    <t>应收账款坏账准备</t>
  </si>
  <si>
    <t>未实现利润</t>
  </si>
  <si>
    <t>商誉减值</t>
  </si>
  <si>
    <t>其他应收款坏账准备</t>
  </si>
  <si>
    <t>可弥补亏损确认</t>
  </si>
  <si>
    <t>保证金</t>
  </si>
  <si>
    <t>职工社保</t>
  </si>
  <si>
    <t>业务往来款</t>
  </si>
  <si>
    <t>资金拆借本息</t>
  </si>
  <si>
    <t>代收款项</t>
  </si>
  <si>
    <t>劳务工资</t>
  </si>
  <si>
    <t>委托贷款手续费</t>
  </si>
  <si>
    <t>应付工程款</t>
  </si>
  <si>
    <t>服务费</t>
  </si>
  <si>
    <t>租赁费</t>
  </si>
  <si>
    <t>水电费</t>
  </si>
  <si>
    <t>其他零星汇总</t>
  </si>
  <si>
    <t>医疗保险费</t>
  </si>
  <si>
    <t>工伤保险费</t>
  </si>
  <si>
    <t>生育保险费</t>
  </si>
  <si>
    <t>基本养老保险</t>
  </si>
  <si>
    <t>失业保险费</t>
  </si>
  <si>
    <t>企业年金缴费</t>
  </si>
  <si>
    <t>地方教育费附加</t>
  </si>
  <si>
    <t>契税</t>
  </si>
  <si>
    <t>矿产资源补偿费</t>
  </si>
  <si>
    <t>一次性到期还本付息的借款利息</t>
  </si>
  <si>
    <t>划分为金融负债的优先股\永续债利息</t>
  </si>
  <si>
    <t>短期融资券利息</t>
  </si>
  <si>
    <t>私募债利息</t>
  </si>
  <si>
    <t>中期票据利息</t>
  </si>
  <si>
    <t>股权信托应付利息</t>
  </si>
  <si>
    <t>一年内到期的其他长期负债</t>
  </si>
  <si>
    <t>一年内到期的长期应付职工薪酬</t>
  </si>
  <si>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</si>
  <si>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</si>
  <si>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</si>
  <si>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</si>
  <si>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</si>
  <si>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</si>
  <si>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</si>
  <si>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</si>
  <si>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</si>
  <si>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</si>
  <si>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</si>
  <si>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</si>
  <si>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</si>
  <si>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</si>
  <si>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分期付款购买设备款（不含融资租赁）</t>
  </si>
  <si>
    <t>融资租入应付款</t>
  </si>
  <si>
    <t>项目代理费</t>
  </si>
  <si>
    <t>职工安置费</t>
  </si>
  <si>
    <t>采矿权价款</t>
  </si>
  <si>
    <t>拆迁补偿款</t>
  </si>
  <si>
    <t>投资款</t>
  </si>
  <si>
    <t>专用基金</t>
  </si>
  <si>
    <t>改制费用</t>
  </si>
  <si>
    <t>未实现售后租回损益</t>
  </si>
  <si>
    <t>租赁收入</t>
  </si>
  <si>
    <t>其他业务收入</t>
    <phoneticPr fontId="1" type="noConversion"/>
  </si>
  <si>
    <t>其他业务成本</t>
    <phoneticPr fontId="1" type="noConversion"/>
  </si>
  <si>
    <t>营业税</t>
  </si>
  <si>
    <t>办公费</t>
  </si>
  <si>
    <t>差旅费</t>
  </si>
  <si>
    <t>广告费</t>
  </si>
  <si>
    <t>会议费</t>
  </si>
  <si>
    <t>会员费</t>
  </si>
  <si>
    <t>其他销售费用</t>
  </si>
  <si>
    <t>诉讼费</t>
  </si>
  <si>
    <t>外聘劳务费</t>
  </si>
  <si>
    <t>信息平台建设维护费</t>
  </si>
  <si>
    <t>修理费</t>
  </si>
  <si>
    <t>展览费</t>
  </si>
  <si>
    <t>折旧费</t>
  </si>
  <si>
    <t>职工薪酬</t>
  </si>
  <si>
    <t>咨询服务费</t>
  </si>
  <si>
    <t>党建工作经费</t>
  </si>
  <si>
    <t>董事会费</t>
  </si>
  <si>
    <t>警卫消防费</t>
  </si>
  <si>
    <t>排污费</t>
  </si>
  <si>
    <t>其他管理费用</t>
  </si>
  <si>
    <t>企业文化建设费</t>
  </si>
  <si>
    <t>团建工作经费</t>
  </si>
  <si>
    <t>业务招待费</t>
  </si>
  <si>
    <t>招投标费用</t>
  </si>
  <si>
    <t>其他减值损失</t>
  </si>
  <si>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</si>
  <si>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</si>
  <si>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</si>
  <si>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</si>
  <si>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</si>
  <si>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</si>
  <si>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理财收益</t>
  </si>
  <si>
    <t>委托贷款利息收益</t>
  </si>
  <si>
    <t>信托产品持有期间计提利息</t>
  </si>
  <si>
    <t>处置持有至到期投资取得的投资收益</t>
  </si>
  <si>
    <t>罚没利得</t>
  </si>
  <si>
    <t>与企业日常活动无关的政府补助</t>
  </si>
  <si>
    <t>以前年度多缴纳税款退回</t>
  </si>
  <si>
    <t>无法支付的款项</t>
  </si>
  <si>
    <t>违约金收入</t>
  </si>
  <si>
    <t>对外捐赠支出</t>
  </si>
  <si>
    <t>罚款及滞纳金支出</t>
  </si>
  <si>
    <t>赔偿金支出</t>
  </si>
  <si>
    <t>其他应收账款坏账准备</t>
  </si>
  <si>
    <t>长期应收款减值准备</t>
    <phoneticPr fontId="1" type="noConversion"/>
  </si>
  <si>
    <t>预付账款减值准备</t>
    <phoneticPr fontId="1" type="noConversion"/>
  </si>
  <si>
    <t>存货减值准备</t>
  </si>
  <si>
    <t>在建工程减值准备</t>
    <phoneticPr fontId="1" type="noConversion"/>
  </si>
  <si>
    <t>无形资产减值准备</t>
    <phoneticPr fontId="1" type="noConversion"/>
  </si>
  <si>
    <t>商誉减值准备</t>
    <phoneticPr fontId="1" type="noConversion"/>
  </si>
  <si>
    <t>关联关系</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</si>
  <si>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</si>
  <si>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</si>
  <si>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</si>
  <si>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</si>
  <si>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本期计提</t>
    <phoneticPr fontId="1" type="noConversion"/>
  </si>
  <si>
    <t>转回或收回</t>
    <phoneticPr fontId="1" type="noConversion"/>
  </si>
  <si>
    <t>校验</t>
    <phoneticPr fontId="1" type="noConversion"/>
  </si>
  <si>
    <t>坏账准备</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</si>
  <si>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</si>
  <si>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</si>
  <si>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</si>
  <si>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</si>
  <si>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</si>
  <si>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</si>
  <si>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</si>
  <si>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</si>
  <si>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</si>
  <si>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</si>
  <si>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</si>
  <si>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</si>
  <si>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</si>
  <si>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</si>
  <si>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</si>
  <si>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</si>
  <si>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</si>
  <si>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</si>
  <si>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</si>
  <si>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</si>
  <si>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</si>
  <si>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</si>
  <si>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</si>
  <si>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</si>
  <si>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</si>
  <si>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</si>
  <si>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</si>
  <si>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</si>
  <si>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</si>
  <si>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</si>
  <si>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</si>
  <si>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</si>
  <si>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</si>
  <si>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</si>
  <si>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</si>
  <si>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</si>
  <si>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</si>
  <si>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</si>
  <si>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</si>
  <si>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</si>
  <si>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</si>
  <si>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</si>
  <si>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1年以内(含1年)</t>
  </si>
  <si>
    <t>1-2年 (含2年)</t>
  </si>
  <si>
    <t>2-3年 (含3年)</t>
  </si>
  <si>
    <t>3-4年 (含4年)</t>
  </si>
  <si>
    <t>4-5年 (含5年)</t>
  </si>
  <si>
    <t>集团内关联方组合</t>
  </si>
  <si>
    <t>应收政府组合</t>
  </si>
  <si>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</si>
  <si>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</si>
  <si>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</si>
  <si>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</si>
  <si>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</si>
  <si>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</si>
  <si>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</si>
  <si>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</si>
  <si>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</si>
  <si>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</si>
  <si>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</si>
  <si>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</si>
  <si>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</si>
  <si>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</si>
  <si>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</si>
  <si>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</si>
  <si>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</si>
  <si>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</si>
  <si>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</si>
  <si>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</si>
  <si>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</si>
  <si>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</si>
  <si>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</si>
  <si>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</si>
  <si>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</si>
  <si>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</si>
  <si>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</si>
  <si>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</si>
  <si>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</si>
  <si>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</si>
  <si>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</si>
  <si>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</si>
  <si>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</si>
  <si>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</si>
  <si>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</si>
  <si>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</si>
  <si>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</si>
  <si>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</si>
  <si>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</si>
  <si>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</si>
  <si>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</si>
  <si>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</si>
  <si>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</si>
  <si>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</si>
  <si>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</si>
  <si>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</si>
  <si>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</si>
  <si>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</si>
  <si>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</si>
  <si>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</si>
  <si>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</si>
  <si>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</si>
  <si>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</si>
  <si>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</si>
  <si>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</si>
  <si>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</si>
  <si>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</si>
  <si>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</si>
  <si>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</si>
  <si>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</si>
  <si>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</si>
  <si>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</si>
  <si>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</si>
  <si>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</si>
  <si>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</si>
  <si>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</si>
  <si>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</si>
  <si>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</si>
  <si>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</si>
  <si>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</si>
  <si>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</si>
  <si>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集团范围内出售转出</t>
  </si>
  <si>
    <t>集团范围内购入</t>
  </si>
  <si>
    <t>数据类型</t>
    <phoneticPr fontId="1" type="noConversion"/>
  </si>
  <si>
    <t>增减原因</t>
    <phoneticPr fontId="1" type="noConversion"/>
  </si>
  <si>
    <t>原值</t>
  </si>
  <si>
    <t>金额</t>
    <phoneticPr fontId="1" type="noConversion"/>
  </si>
  <si>
    <t>房屋建筑物</t>
  </si>
  <si>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</si>
  <si>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</si>
  <si>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</si>
  <si>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</si>
  <si>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</si>
  <si>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</si>
  <si>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</si>
  <si>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</si>
  <si>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一、基本养老保险</t>
  </si>
  <si>
    <t>二、失业保险费</t>
  </si>
  <si>
    <t>三、企业年金缴费</t>
  </si>
  <si>
    <t>单位</t>
    <phoneticPr fontId="1" type="noConversion"/>
  </si>
  <si>
    <t>业务内容</t>
    <phoneticPr fontId="1" type="noConversion"/>
  </si>
  <si>
    <t>其中：1年以内</t>
  </si>
  <si>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</si>
  <si>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</si>
  <si>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</si>
  <si>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</si>
  <si>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</si>
  <si>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</si>
  <si>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</si>
  <si>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</si>
  <si>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</si>
  <si>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</si>
  <si>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</si>
  <si>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</si>
  <si>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</si>
  <si>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</si>
  <si>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</si>
  <si>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</si>
  <si>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</si>
  <si>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</si>
  <si>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</si>
  <si>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</si>
  <si>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</si>
  <si>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</si>
  <si>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</si>
  <si>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</si>
  <si>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</si>
  <si>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</si>
  <si>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</si>
  <si>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</si>
  <si>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</si>
  <si>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</si>
  <si>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</si>
  <si>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</si>
  <si>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</si>
  <si>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</si>
  <si>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</si>
  <si>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</si>
  <si>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</si>
  <si>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</si>
  <si>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</si>
  <si>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</si>
  <si>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</si>
  <si>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</si>
  <si>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</si>
  <si>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</si>
  <si>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</si>
  <si>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</si>
  <si>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</si>
  <si>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</si>
  <si>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</si>
  <si>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</si>
  <si>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</si>
  <si>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</si>
  <si>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6" type="noConversion"/>
  </si>
  <si>
    <t>明细项目</t>
  </si>
  <si>
    <t>调整前数</t>
  </si>
  <si>
    <t>公允价值变动损益</t>
    <phoneticPr fontId="36" type="noConversion"/>
  </si>
  <si>
    <t>企业间资金拆借利息支出等</t>
  </si>
  <si>
    <t>筹资性的应收票据贴现利息、无追索权保理或销售应收账款产生的利息</t>
  </si>
  <si>
    <t>其他利息支出</t>
  </si>
  <si>
    <t>经营性应收项目的减少（减：增加）</t>
    <phoneticPr fontId="36" type="noConversion"/>
  </si>
  <si>
    <t>应收账款</t>
    <phoneticPr fontId="36" type="noConversion"/>
  </si>
  <si>
    <t>应收账款本期减少</t>
  </si>
  <si>
    <t>购入应收账款等投资性活动本期增加数</t>
  </si>
  <si>
    <t>汇兑损益引起的应收账款增加</t>
  </si>
  <si>
    <t>销售应收账款、无追索权保理等筹资性活动</t>
  </si>
  <si>
    <t>应收票据</t>
    <phoneticPr fontId="36"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</si>
  <si>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</si>
  <si>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</si>
  <si>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</si>
  <si>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</si>
  <si>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6" type="noConversion"/>
  </si>
  <si>
    <t>预付账款本期减少</t>
  </si>
  <si>
    <t>备用金</t>
    <phoneticPr fontId="36" type="noConversion"/>
  </si>
  <si>
    <t>备用金本期减少</t>
  </si>
  <si>
    <t>其他应收款</t>
    <phoneticPr fontId="36"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</si>
  <si>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</si>
  <si>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</si>
  <si>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</si>
  <si>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</si>
  <si>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</si>
  <si>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</si>
  <si>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</si>
  <si>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</si>
  <si>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6"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</si>
  <si>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</si>
  <si>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</si>
  <si>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</si>
  <si>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</si>
  <si>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</si>
  <si>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6" type="noConversion"/>
  </si>
  <si>
    <t>本期核销的应收票据-坏账准备（减本期收回前期核销数）</t>
  </si>
  <si>
    <t>减：坏账准备-应收账款</t>
    <phoneticPr fontId="36" type="noConversion"/>
  </si>
  <si>
    <t>本期核销的应收账款-坏账准备（减本期收回前期核销数）</t>
  </si>
  <si>
    <t>减：坏账准备-预付账款</t>
    <phoneticPr fontId="36" type="noConversion"/>
  </si>
  <si>
    <t>本期核销的预付账款（减本期收回前期核销数）--预付账款</t>
  </si>
  <si>
    <t>减：坏账准备-其他应收款</t>
    <phoneticPr fontId="36" type="noConversion"/>
  </si>
  <si>
    <t>本期核销的其他应收款（减本期收回前期核销数）--其他应收款</t>
  </si>
  <si>
    <t>减：坏账准备-长期应收款</t>
    <phoneticPr fontId="36" type="noConversion"/>
  </si>
  <si>
    <t>本期核销的长期应收款（减本期收回前期核销数）--长期应收款</t>
  </si>
  <si>
    <t>其他流动资产</t>
    <phoneticPr fontId="36" type="noConversion"/>
  </si>
  <si>
    <t>应交税费红字重分类</t>
  </si>
  <si>
    <t>货币资金不属于现金及现金等价物</t>
    <phoneticPr fontId="36" type="noConversion"/>
  </si>
  <si>
    <t>货币资金不属于现金及现金等价物</t>
  </si>
  <si>
    <t>现金及现金等价物不属于货币资金</t>
    <phoneticPr fontId="36" type="noConversion"/>
  </si>
  <si>
    <t>现金及现金等价物不属于货币资金</t>
  </si>
  <si>
    <t>经营性应付项目的增加（减：减少）</t>
    <phoneticPr fontId="36" type="noConversion"/>
  </si>
  <si>
    <t>应付账款</t>
    <phoneticPr fontId="36" type="noConversion"/>
  </si>
  <si>
    <t>应付账款本期增加</t>
  </si>
  <si>
    <t>应付长期资产购置款期初数-期末数</t>
  </si>
  <si>
    <t>汇兑损益引起的应付账款增加</t>
  </si>
  <si>
    <t>应付票据</t>
    <phoneticPr fontId="36" type="noConversion"/>
  </si>
  <si>
    <t>到期无力偿还而转入借款款项</t>
  </si>
  <si>
    <t>筹资性活动本期增加流入</t>
  </si>
  <si>
    <t>筹资性活动本期减少流出</t>
  </si>
  <si>
    <t>预收款项</t>
    <phoneticPr fontId="36" type="noConversion"/>
  </si>
  <si>
    <t>预收款项本期增加</t>
  </si>
  <si>
    <t>应交税费</t>
    <phoneticPr fontId="36"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</si>
  <si>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</si>
  <si>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</si>
  <si>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</si>
  <si>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</si>
  <si>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</si>
  <si>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6"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</si>
  <si>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</si>
  <si>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</si>
  <si>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</si>
  <si>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</si>
  <si>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6"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</si>
  <si>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</si>
  <si>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</si>
  <si>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</si>
  <si>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</si>
  <si>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</si>
  <si>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</si>
  <si>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</si>
  <si>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</si>
  <si>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6" type="noConversion"/>
  </si>
  <si>
    <t>其他流动负债</t>
    <phoneticPr fontId="36" type="noConversion"/>
  </si>
  <si>
    <t>其他流动负债本期增加</t>
  </si>
  <si>
    <t>发行短期融资券等收到的现金</t>
  </si>
  <si>
    <t>归还短期融资券等</t>
  </si>
  <si>
    <t>递延收益</t>
    <phoneticPr fontId="36" type="noConversion"/>
  </si>
  <si>
    <t>递延收益本期增加</t>
  </si>
  <si>
    <t>【停用】除税收返还和财政贴息之外的资产相产的政府补助</t>
  </si>
  <si>
    <t>收到的财政贴息</t>
  </si>
  <si>
    <t>收到的财政贴息冲抵利息支出)</t>
  </si>
  <si>
    <t>其他非流动负债</t>
    <phoneticPr fontId="36" type="noConversion"/>
  </si>
  <si>
    <t>其他非流动负债本期增加</t>
  </si>
  <si>
    <t>预计负债本期增加</t>
  </si>
  <si>
    <t>固定资产弃置义务</t>
  </si>
  <si>
    <t>因存在弃置义务而承担的利息</t>
  </si>
  <si>
    <t>长期应付职工薪酬</t>
    <phoneticPr fontId="36" type="noConversion"/>
  </si>
  <si>
    <t>长期应付职工薪酬本期增加</t>
  </si>
  <si>
    <t>受托代销商品款</t>
    <phoneticPr fontId="36" type="noConversion"/>
  </si>
  <si>
    <t>受托代销商品款本期增加</t>
  </si>
  <si>
    <t>代理业务负债</t>
    <phoneticPr fontId="36" type="noConversion"/>
  </si>
  <si>
    <t>代理业务负债本期增加</t>
  </si>
  <si>
    <t>其他(请核实是否存在由于调整有误等原因产生的异常其他项）</t>
    <phoneticPr fontId="36" type="noConversion"/>
  </si>
  <si>
    <t>代理业务资产</t>
    <phoneticPr fontId="36" type="noConversion"/>
  </si>
  <si>
    <t>代理业务资产本期减少</t>
  </si>
  <si>
    <t>未实现融资收益</t>
    <phoneticPr fontId="36" type="noConversion"/>
  </si>
  <si>
    <t>递延销售方式分期收款确认收入时的贷方发生额</t>
  </si>
  <si>
    <t>在建工程</t>
    <phoneticPr fontId="36" type="noConversion"/>
  </si>
  <si>
    <t>试车产品冲减在建工程</t>
  </si>
  <si>
    <t>开发支出</t>
    <phoneticPr fontId="36" type="noConversion"/>
  </si>
  <si>
    <t>开发支出转入损益</t>
  </si>
  <si>
    <t>商誉</t>
    <phoneticPr fontId="36" type="noConversion"/>
  </si>
  <si>
    <t>资本公积</t>
    <phoneticPr fontId="36"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</si>
  <si>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</si>
  <si>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</si>
  <si>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</si>
  <si>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</si>
  <si>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6" type="noConversion"/>
  </si>
  <si>
    <t>重新计量设定受益计划净负债或净资产导致的变动</t>
  </si>
  <si>
    <t>专项储备</t>
    <phoneticPr fontId="36" type="noConversion"/>
  </si>
  <si>
    <t>本期计提的专项储备</t>
  </si>
  <si>
    <t>盈余公积</t>
    <phoneticPr fontId="36" type="noConversion"/>
  </si>
  <si>
    <t>国家扶持基金（先缴后返部分）</t>
  </si>
  <si>
    <t>其他业务收入</t>
    <phoneticPr fontId="36" type="noConversion"/>
  </si>
  <si>
    <t>出售投资性房地产收入</t>
  </si>
  <si>
    <t>融资租出固定资产业务</t>
  </si>
  <si>
    <t>其他业务成本</t>
    <phoneticPr fontId="36" type="noConversion"/>
  </si>
  <si>
    <t>出售投资性房地产成本</t>
  </si>
  <si>
    <t>投资性活动成本——其他</t>
  </si>
  <si>
    <t>净敞口套期损益</t>
    <phoneticPr fontId="36" type="noConversion"/>
  </si>
  <si>
    <t>营业外收入</t>
    <phoneticPr fontId="36"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</si>
  <si>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</si>
  <si>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</si>
  <si>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</si>
  <si>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6" type="noConversion"/>
  </si>
  <si>
    <t>资产核销损失</t>
  </si>
  <si>
    <t>融资租出固定资产时公允价值小于账面价值部分</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</si>
  <si>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</si>
  <si>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</si>
  <si>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</si>
  <si>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</si>
  <si>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</si>
  <si>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</si>
  <si>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</si>
  <si>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</si>
  <si>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</si>
  <si>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</si>
  <si>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</si>
  <si>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</si>
  <si>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</si>
  <si>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</si>
  <si>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</si>
  <si>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</si>
  <si>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</si>
  <si>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</si>
  <si>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</si>
  <si>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</si>
  <si>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</si>
  <si>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</si>
  <si>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</si>
  <si>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</si>
  <si>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</si>
  <si>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</si>
  <si>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</si>
  <si>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</si>
  <si>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</si>
  <si>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</si>
  <si>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</si>
  <si>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</si>
  <si>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</si>
  <si>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</si>
  <si>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</si>
  <si>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</si>
  <si>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</si>
  <si>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</si>
  <si>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</si>
  <si>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</si>
  <si>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</si>
  <si>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</si>
  <si>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</si>
  <si>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</si>
  <si>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</si>
  <si>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</si>
  <si>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</si>
  <si>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</si>
  <si>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</si>
  <si>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</si>
  <si>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</si>
  <si>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</si>
  <si>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</si>
  <si>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</si>
  <si>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</si>
  <si>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</si>
  <si>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</si>
  <si>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</si>
  <si>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</si>
  <si>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</si>
  <si>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</si>
  <si>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</si>
  <si>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</si>
  <si>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</si>
  <si>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</si>
  <si>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</si>
  <si>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稀释每股收益（Ⅱ）</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</si>
  <si>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</si>
  <si>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</si>
  <si>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</si>
  <si>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</si>
  <si>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</si>
  <si>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</si>
  <si>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</si>
  <si>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</si>
  <si>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</si>
  <si>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</si>
  <si>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</si>
  <si>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</si>
  <si>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</si>
  <si>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</si>
  <si>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</si>
  <si>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</si>
  <si>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</si>
  <si>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</si>
  <si>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</si>
  <si>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</si>
  <si>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</si>
  <si>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</si>
  <si>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</si>
  <si>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</si>
  <si>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</si>
  <si>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加权平均净资产收益率（Ⅰ）</t>
  </si>
  <si>
    <t>17=2÷16</t>
  </si>
  <si>
    <t>加权平均净资产收益率（Ⅱ）</t>
  </si>
  <si>
    <t>18=4÷16</t>
  </si>
  <si>
    <r>
      <t>增加</t>
    </r>
    <r>
      <rPr>
        <sz val="10.5"/>
        <rFont val="Arial"/>
        <family val="2"/>
      </rPr>
      <t>X%</t>
    </r>
  </si>
  <si>
    <r>
      <t>减少</t>
    </r>
    <r>
      <rPr>
        <sz val="10.5"/>
        <rFont val="Arial"/>
        <family val="2"/>
      </rPr>
      <t>X%</t>
    </r>
  </si>
  <si>
    <t>应收款项</t>
  </si>
  <si>
    <t>......</t>
  </si>
  <si>
    <t>借款</t>
  </si>
  <si>
    <t>应付款项</t>
  </si>
  <si>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</si>
  <si>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</si>
  <si>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</si>
  <si>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</si>
  <si>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</si>
  <si>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</si>
  <si>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</si>
  <si>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</si>
  <si>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</si>
  <si>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</si>
  <si>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</si>
  <si>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</si>
  <si>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</si>
  <si>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</si>
  <si>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</si>
  <si>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</si>
  <si>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</si>
  <si>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</si>
  <si>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</si>
  <si>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</si>
  <si>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</si>
  <si>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</si>
  <si>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</si>
  <si>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</si>
  <si>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</si>
  <si>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</si>
  <si>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</si>
  <si>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</si>
  <si>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</si>
  <si>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工程项目</t>
  </si>
  <si>
    <t>商品及使用权转让</t>
  </si>
  <si>
    <t>管理咨询服务</t>
  </si>
  <si>
    <t>房产销售</t>
  </si>
  <si>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</si>
  <si>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</si>
  <si>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</si>
  <si>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</si>
  <si>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</si>
  <si>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</si>
  <si>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</si>
  <si>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</si>
  <si>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</si>
  <si>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</si>
  <si>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</si>
  <si>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</si>
  <si>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</si>
  <si>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</si>
  <si>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</si>
  <si>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利息收入</t>
  </si>
  <si>
    <t>租金收入</t>
  </si>
  <si>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</si>
  <si>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</si>
  <si>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</si>
  <si>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</si>
  <si>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按适用税率计算的所得税费用</t>
    <phoneticPr fontId="1" type="noConversion"/>
  </si>
  <si>
    <t>计税依据</t>
    <phoneticPr fontId="1" type="noConversion"/>
  </si>
  <si>
    <t>税率</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</si>
  <si>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</si>
  <si>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</si>
  <si>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</si>
  <si>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</si>
  <si>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</si>
  <si>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</si>
  <si>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</si>
  <si>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</si>
  <si>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</si>
  <si>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</si>
  <si>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</si>
  <si>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</si>
  <si>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</si>
  <si>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</si>
  <si>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</si>
  <si>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</si>
  <si>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</si>
  <si>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</si>
  <si>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</si>
  <si>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</si>
  <si>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</si>
  <si>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</si>
  <si>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</si>
  <si>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</si>
  <si>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</si>
  <si>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</si>
  <si>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</si>
  <si>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</si>
  <si>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</si>
  <si>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</si>
  <si>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</si>
  <si>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</si>
  <si>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</si>
  <si>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</si>
  <si>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</si>
  <si>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</si>
  <si>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</si>
  <si>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</si>
  <si>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</si>
  <si>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</si>
  <si>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</si>
  <si>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</si>
  <si>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</si>
  <si>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</si>
  <si>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</si>
  <si>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</si>
  <si>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</si>
  <si>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</si>
  <si>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</si>
  <si>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其他投资收益</t>
  </si>
  <si>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</si>
  <si>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</si>
  <si>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</si>
  <si>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</si>
  <si>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</si>
  <si>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</si>
  <si>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</si>
  <si>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</si>
  <si>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</si>
  <si>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</si>
  <si>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</si>
  <si>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</si>
  <si>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</si>
  <si>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</si>
  <si>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</si>
  <si>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现金流量表金额</t>
    <phoneticPr fontId="1" type="noConversion"/>
  </si>
  <si>
    <t>所有者权益变动表</t>
    <phoneticPr fontId="1" type="noConversion"/>
  </si>
  <si>
    <t>项目</t>
    <phoneticPr fontId="36" type="noConversion"/>
  </si>
  <si>
    <t>计税标准</t>
    <phoneticPr fontId="36" type="noConversion"/>
  </si>
  <si>
    <t>审定后税前利润总额</t>
    <phoneticPr fontId="36" type="noConversion"/>
  </si>
  <si>
    <t>加：纳税调整增加额</t>
    <phoneticPr fontId="36" type="noConversion"/>
  </si>
  <si>
    <t>工资总额×14%</t>
    <phoneticPr fontId="36" type="noConversion"/>
  </si>
  <si>
    <t>工资总额×2%</t>
    <phoneticPr fontId="36" type="noConversion"/>
  </si>
  <si>
    <t>不得扣除</t>
    <phoneticPr fontId="36" type="noConversion"/>
  </si>
  <si>
    <t>超过同期银行利息部分</t>
    <phoneticPr fontId="36" type="noConversion"/>
  </si>
  <si>
    <t>销售收入×0.5%</t>
    <phoneticPr fontId="36" type="noConversion"/>
  </si>
  <si>
    <t>销售收入×15%</t>
    <phoneticPr fontId="36" type="noConversion"/>
  </si>
  <si>
    <t>利润总额×12%</t>
    <phoneticPr fontId="36" type="noConversion"/>
  </si>
  <si>
    <t>减：纳税调整减少额</t>
    <phoneticPr fontId="36" type="noConversion"/>
  </si>
  <si>
    <t>全额扣除</t>
    <phoneticPr fontId="36" type="noConversion"/>
  </si>
  <si>
    <t>500万以下免征</t>
    <phoneticPr fontId="36" type="noConversion"/>
  </si>
  <si>
    <t>研究开发费×50%</t>
    <phoneticPr fontId="36" type="noConversion"/>
  </si>
  <si>
    <t>残疾人员工资×100%</t>
    <phoneticPr fontId="36" type="noConversion"/>
  </si>
  <si>
    <t>投资额×70%</t>
    <phoneticPr fontId="36" type="noConversion"/>
  </si>
  <si>
    <t>房产企业特殊项目纳税调整</t>
    <phoneticPr fontId="36" type="noConversion"/>
  </si>
  <si>
    <t>预估工程款</t>
    <phoneticPr fontId="71" type="noConversion"/>
  </si>
  <si>
    <t>预售收入纳税调整</t>
    <phoneticPr fontId="71" type="noConversion"/>
  </si>
  <si>
    <t>未完工转完工调整</t>
    <phoneticPr fontId="71" type="noConversion"/>
  </si>
  <si>
    <t>纳税调整后所得额</t>
    <phoneticPr fontId="36" type="noConversion"/>
  </si>
  <si>
    <t>弥补以前年度亏损</t>
    <phoneticPr fontId="36" type="noConversion"/>
  </si>
  <si>
    <t>应纳税所得额</t>
    <phoneticPr fontId="36" type="noConversion"/>
  </si>
  <si>
    <t>税率</t>
    <phoneticPr fontId="36" type="noConversion"/>
  </si>
  <si>
    <t>应纳所得税额</t>
    <phoneticPr fontId="36" type="noConversion"/>
  </si>
  <si>
    <t>减免所得税额</t>
    <phoneticPr fontId="36" type="noConversion"/>
  </si>
  <si>
    <t>本期应纳所得税税额</t>
    <phoneticPr fontId="36" type="noConversion"/>
  </si>
  <si>
    <t>账面已计所得税额</t>
    <phoneticPr fontId="36" type="noConversion"/>
  </si>
  <si>
    <t>差异</t>
    <phoneticPr fontId="36" type="noConversion"/>
  </si>
  <si>
    <t>计税标准</t>
  </si>
  <si>
    <t>营业收入</t>
    <phoneticPr fontId="36" type="noConversion"/>
  </si>
  <si>
    <t>适用税率</t>
    <phoneticPr fontId="36" type="noConversion"/>
  </si>
  <si>
    <t>税前利润总额</t>
    <phoneticPr fontId="36" type="noConversion"/>
  </si>
  <si>
    <t>工资总额</t>
    <phoneticPr fontId="36" type="noConversion"/>
  </si>
  <si>
    <t>纳税调增项目</t>
    <phoneticPr fontId="36" type="noConversion"/>
  </si>
  <si>
    <t>账面数</t>
    <phoneticPr fontId="36" type="noConversion"/>
  </si>
  <si>
    <t>扣除限额</t>
    <phoneticPr fontId="36" type="noConversion"/>
  </si>
  <si>
    <t>超标准</t>
    <phoneticPr fontId="36" type="noConversion"/>
  </si>
  <si>
    <t>注意事项</t>
    <phoneticPr fontId="36" type="noConversion"/>
  </si>
  <si>
    <t>职工福利费</t>
    <phoneticPr fontId="36" type="noConversion"/>
  </si>
  <si>
    <r>
      <t>工资总额</t>
    </r>
    <r>
      <rPr>
        <sz val="10"/>
        <rFont val="Arial"/>
        <family val="2"/>
      </rPr>
      <t>×14%</t>
    </r>
    <phoneticPr fontId="36" type="noConversion"/>
  </si>
  <si>
    <t>工会经费</t>
    <phoneticPr fontId="36" type="noConversion"/>
  </si>
  <si>
    <r>
      <t>工资总额</t>
    </r>
    <r>
      <rPr>
        <sz val="10"/>
        <rFont val="Arial"/>
        <family val="2"/>
      </rPr>
      <t>×2%</t>
    </r>
    <phoneticPr fontId="36" type="noConversion"/>
  </si>
  <si>
    <t>是否有工会开具的收款凭据</t>
    <phoneticPr fontId="36" type="noConversion"/>
  </si>
  <si>
    <t>职工教育经费</t>
    <phoneticPr fontId="36" type="noConversion"/>
  </si>
  <si>
    <t>为投资者支付的商业保险</t>
    <phoneticPr fontId="36" type="noConversion"/>
  </si>
  <si>
    <t>向非金融企业借款利息支出</t>
    <phoneticPr fontId="36" type="noConversion"/>
  </si>
  <si>
    <t>不超过同期银行利息</t>
    <phoneticPr fontId="36" type="noConversion"/>
  </si>
  <si>
    <t>取得向非金融企业的借款合同</t>
    <phoneticPr fontId="36" type="noConversion"/>
  </si>
  <si>
    <t>业务招待费</t>
    <phoneticPr fontId="36" type="noConversion"/>
  </si>
  <si>
    <r>
      <t>营业收入</t>
    </r>
    <r>
      <rPr>
        <sz val="10"/>
        <rFont val="Arial"/>
        <family val="2"/>
      </rPr>
      <t>×0.5%</t>
    </r>
    <phoneticPr fontId="36" type="noConversion"/>
  </si>
  <si>
    <t>广告费和业务宣传费</t>
    <phoneticPr fontId="36" type="noConversion"/>
  </si>
  <si>
    <r>
      <t>营业收入</t>
    </r>
    <r>
      <rPr>
        <sz val="10"/>
        <rFont val="Arial"/>
        <family val="2"/>
      </rPr>
      <t>×15%</t>
    </r>
    <phoneticPr fontId="36" type="noConversion"/>
  </si>
  <si>
    <t>超过部分结转以后纳税年度扣除</t>
    <phoneticPr fontId="36" type="noConversion"/>
  </si>
  <si>
    <t>公益性捐赠支出</t>
    <phoneticPr fontId="36" type="noConversion"/>
  </si>
  <si>
    <r>
      <t>利润总额</t>
    </r>
    <r>
      <rPr>
        <sz val="10"/>
        <rFont val="Arial"/>
        <family val="2"/>
      </rPr>
      <t>×12%</t>
    </r>
    <phoneticPr fontId="36" type="noConversion"/>
  </si>
  <si>
    <t>取得公益性组织开具的收款凭据</t>
    <phoneticPr fontId="36" type="noConversion"/>
  </si>
  <si>
    <t>赞助支出</t>
    <phoneticPr fontId="36" type="noConversion"/>
  </si>
  <si>
    <t>非广告支出</t>
    <phoneticPr fontId="36" type="noConversion"/>
  </si>
  <si>
    <t>税收滞纳金</t>
    <phoneticPr fontId="36" type="noConversion"/>
  </si>
  <si>
    <t>罚金、罚款支出</t>
    <phoneticPr fontId="36" type="noConversion"/>
  </si>
  <si>
    <t>取得政府部门开具的罚款凭据</t>
    <phoneticPr fontId="36" type="noConversion"/>
  </si>
  <si>
    <t>资产减值损失</t>
    <phoneticPr fontId="36" type="noConversion"/>
  </si>
  <si>
    <t>纳税调减项目</t>
    <phoneticPr fontId="36" type="noConversion"/>
  </si>
  <si>
    <t>纳税调整额</t>
    <phoneticPr fontId="36" type="noConversion"/>
  </si>
  <si>
    <t>国债利息收入</t>
    <phoneticPr fontId="36" type="noConversion"/>
  </si>
  <si>
    <t>技术转让所得</t>
    <phoneticPr fontId="36" type="noConversion"/>
  </si>
  <si>
    <r>
      <t>500</t>
    </r>
    <r>
      <rPr>
        <sz val="10"/>
        <rFont val="宋体"/>
        <family val="3"/>
        <charset val="134"/>
      </rPr>
      <t>万以下免征</t>
    </r>
    <phoneticPr fontId="36" type="noConversion"/>
  </si>
  <si>
    <t>研究开发费</t>
    <phoneticPr fontId="36" type="noConversion"/>
  </si>
  <si>
    <r>
      <t>研究开发费</t>
    </r>
    <r>
      <rPr>
        <sz val="10"/>
        <rFont val="Arial"/>
        <family val="2"/>
      </rPr>
      <t>×50%</t>
    </r>
    <phoneticPr fontId="36" type="noConversion"/>
  </si>
  <si>
    <t>残疾人员工资</t>
    <phoneticPr fontId="36" type="noConversion"/>
  </si>
  <si>
    <r>
      <t>残疾人员工资</t>
    </r>
    <r>
      <rPr>
        <sz val="10"/>
        <rFont val="Arial"/>
        <family val="2"/>
      </rPr>
      <t>×100%</t>
    </r>
    <phoneticPr fontId="36" type="noConversion"/>
  </si>
  <si>
    <t>取得残疾人员证明材料</t>
    <phoneticPr fontId="36" type="noConversion"/>
  </si>
  <si>
    <t>投资未上市中小企业投资额</t>
    <phoneticPr fontId="36" type="noConversion"/>
  </si>
  <si>
    <r>
      <t>投资额</t>
    </r>
    <r>
      <rPr>
        <sz val="10"/>
        <rFont val="Arial"/>
        <family val="2"/>
      </rPr>
      <t>×70%</t>
    </r>
    <phoneticPr fontId="36" type="noConversion"/>
  </si>
  <si>
    <t>取得中小企业认定的书面证据</t>
    <phoneticPr fontId="36" type="noConversion"/>
  </si>
  <si>
    <t>上年度结转的超标广告费</t>
    <phoneticPr fontId="36" type="noConversion"/>
  </si>
  <si>
    <t>上年度结转的超标职工教育经费</t>
    <phoneticPr fontId="36" type="noConversion"/>
  </si>
  <si>
    <t>房产企业特有项目</t>
    <phoneticPr fontId="36" type="noConversion"/>
  </si>
  <si>
    <t>预估工程款纳税调整：</t>
    <phoneticPr fontId="71" type="noConversion"/>
  </si>
  <si>
    <t>预收账款调整：</t>
    <phoneticPr fontId="71" type="noConversion"/>
  </si>
  <si>
    <t>计税毛利率</t>
    <phoneticPr fontId="71" type="noConversion"/>
  </si>
  <si>
    <t>毛利额</t>
    <phoneticPr fontId="71" type="noConversion"/>
  </si>
  <si>
    <t>应当纳税调增</t>
    <phoneticPr fontId="71" type="noConversion"/>
  </si>
  <si>
    <t>转回的销售未完工产品金额</t>
    <phoneticPr fontId="71" type="noConversion"/>
  </si>
  <si>
    <t>预计毛利额</t>
    <phoneticPr fontId="71" type="noConversion"/>
  </si>
  <si>
    <t>应当纳税调减</t>
    <phoneticPr fontId="71" type="noConversion"/>
  </si>
  <si>
    <t>权益法核算的长期股权投资收益</t>
    <phoneticPr fontId="1" type="noConversion"/>
  </si>
  <si>
    <t>权益法核算的长期股权投资收益</t>
    <phoneticPr fontId="36"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</si>
  <si>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1" type="noConversion"/>
  </si>
  <si>
    <t>上期纳税调增</t>
    <phoneticPr fontId="71"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</si>
  <si>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1" type="noConversion"/>
  </si>
  <si>
    <t>本期纳税调增</t>
    <phoneticPr fontId="71" type="noConversion"/>
  </si>
  <si>
    <t>预估工程款纳税调整合计</t>
    <phoneticPr fontId="1" type="noConversion"/>
  </si>
  <si>
    <t>上期末暂估合同成本余额</t>
    <phoneticPr fontId="71" type="noConversion"/>
  </si>
  <si>
    <t>本期末暂估合同成本余额</t>
    <phoneticPr fontId="71" type="noConversion"/>
  </si>
  <si>
    <t>预售收入账载金额</t>
    <phoneticPr fontId="71" type="noConversion"/>
  </si>
  <si>
    <t>已交税金及附加、土地增值税</t>
    <phoneticPr fontId="71" type="noConversion"/>
  </si>
  <si>
    <t>合同负债借方</t>
    <phoneticPr fontId="71" type="noConversion"/>
  </si>
  <si>
    <t>合同负债贷方</t>
    <phoneticPr fontId="71" type="noConversion"/>
  </si>
  <si>
    <t>转回实际发生的税金及附加、土地增值税</t>
    <phoneticPr fontId="71" type="noConversion"/>
  </si>
  <si>
    <t>经批准的财产损失税前扣除</t>
    <phoneticPr fontId="1" type="noConversion"/>
  </si>
  <si>
    <t>股息红利收入</t>
    <phoneticPr fontId="36" type="noConversion"/>
  </si>
  <si>
    <t>补充养老保险</t>
    <phoneticPr fontId="36" type="noConversion"/>
  </si>
  <si>
    <t>补充医疗保险</t>
    <phoneticPr fontId="1" type="noConversion"/>
  </si>
  <si>
    <t>参与补充养老保险人员工资总额的5%</t>
  </si>
  <si>
    <t>参与补充养老保险人员工资总额的5%</t>
    <phoneticPr fontId="36"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</si>
  <si>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</si>
  <si>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</si>
  <si>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</si>
  <si>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</si>
  <si>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</si>
  <si>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与取得收入无关的支出</t>
    <phoneticPr fontId="1" type="noConversion"/>
  </si>
  <si>
    <t>不征税收入</t>
    <phoneticPr fontId="1" type="noConversion"/>
  </si>
  <si>
    <t>全额扣除</t>
    <phoneticPr fontId="1" type="noConversion"/>
  </si>
  <si>
    <t>不合规支出</t>
    <phoneticPr fontId="1" type="noConversion"/>
  </si>
  <si>
    <t>不得扣除</t>
    <phoneticPr fontId="1" type="noConversion"/>
  </si>
  <si>
    <t>未按权责发生制确认的收入</t>
    <phoneticPr fontId="1" type="noConversion"/>
  </si>
  <si>
    <t>政府补助计入递延收益</t>
    <phoneticPr fontId="1" type="noConversion"/>
  </si>
  <si>
    <t>全额调增</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</si>
  <si>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</si>
  <si>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</si>
  <si>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6" type="noConversion"/>
  </si>
  <si>
    <t>不影响</t>
    <phoneticPr fontId="1" type="noConversion"/>
  </si>
  <si>
    <t>上年度结转的超标捐赠支出</t>
    <phoneticPr fontId="1" type="noConversion"/>
  </si>
  <si>
    <t>三年内扣除</t>
    <phoneticPr fontId="36"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</si>
  <si>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</si>
  <si>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</si>
  <si>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</si>
  <si>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</si>
  <si>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</si>
  <si>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</si>
  <si>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</si>
  <si>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</si>
  <si>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</si>
  <si>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工资总额×8%</t>
    <phoneticPr fontId="36" type="noConversion"/>
  </si>
  <si>
    <t>未按权责发生制确认的收入本期确认</t>
    <phoneticPr fontId="1" type="noConversion"/>
  </si>
  <si>
    <t>递延收益摊销</t>
    <phoneticPr fontId="1" type="noConversion"/>
  </si>
  <si>
    <t>所得税汇算汇算清缴前未取得发票，追补年限不得超过五年</t>
    <phoneticPr fontId="1" type="noConversion"/>
  </si>
  <si>
    <t>全额调增</t>
    <phoneticPr fontId="36" type="noConversion"/>
  </si>
  <si>
    <t>预提费用减少额</t>
    <phoneticPr fontId="1" type="noConversion"/>
  </si>
  <si>
    <t>预提费用增加额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</si>
  <si>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</si>
  <si>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</si>
  <si>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</si>
  <si>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</si>
  <si>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</si>
  <si>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</si>
  <si>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</si>
  <si>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</si>
  <si>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</si>
  <si>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</si>
  <si>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</si>
  <si>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</si>
  <si>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</si>
  <si>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</si>
  <si>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</si>
  <si>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</si>
  <si>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</si>
  <si>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t>房屋建筑物</t>
    <phoneticPr fontId="1" type="noConversion"/>
  </si>
  <si>
    <t>外购</t>
  </si>
  <si>
    <t>企业合并增加</t>
  </si>
  <si>
    <t>处置</t>
  </si>
  <si>
    <t>处置</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</si>
  <si>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</si>
  <si>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</si>
  <si>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企业合并</t>
  </si>
  <si>
    <t>计提</t>
  </si>
  <si>
    <t>其他增加</t>
    <phoneticPr fontId="1" type="noConversion"/>
  </si>
  <si>
    <t>电子、办公设备及其他</t>
  </si>
  <si>
    <t>道路资产</t>
  </si>
  <si>
    <t>小麦</t>
    <phoneticPr fontId="1" type="noConversion"/>
  </si>
  <si>
    <t>玉米</t>
    <phoneticPr fontId="1" type="noConversion"/>
  </si>
  <si>
    <t>牛</t>
    <phoneticPr fontId="1" type="noConversion"/>
  </si>
  <si>
    <t>猪</t>
    <phoneticPr fontId="1" type="noConversion"/>
  </si>
  <si>
    <t>自行培育</t>
  </si>
  <si>
    <t>探明矿区权益</t>
  </si>
  <si>
    <t>未探明矿区权益</t>
  </si>
  <si>
    <t>井及相关设施</t>
  </si>
  <si>
    <t>新增租赁合同</t>
  </si>
  <si>
    <t>租赁合同到期</t>
  </si>
  <si>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</si>
  <si>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</si>
  <si>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</si>
  <si>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</si>
  <si>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</si>
  <si>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</si>
  <si>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</si>
  <si>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</si>
  <si>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</si>
  <si>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</si>
  <si>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</si>
  <si>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</si>
  <si>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1123\预付账款</t>
  </si>
  <si>
    <t>1403\原材料</t>
  </si>
  <si>
    <t>1503\可供出售金融资产</t>
  </si>
  <si>
    <t>15110101\长期股权投资\成本法\投资成本</t>
  </si>
  <si>
    <t>15110201\长期股权投资\权益法\投资成本</t>
  </si>
  <si>
    <t>152101\投资性房地产\成本模式计量</t>
  </si>
  <si>
    <t>2201\应付票据</t>
  </si>
  <si>
    <t>22210201\应交税费\应交增值税\进项税额</t>
  </si>
  <si>
    <t>250201\应付债券\一年内到期债券</t>
  </si>
  <si>
    <t>250202\应付债券\长期债券</t>
  </si>
  <si>
    <t>4001\实收资本</t>
  </si>
  <si>
    <t>5002\开发成本</t>
  </si>
  <si>
    <t>5401\工程施工</t>
  </si>
  <si>
    <t>671103\营业外支出\公益性捐赠支出</t>
  </si>
  <si>
    <t>671106\营业外支出\行政罚款及滞纳金</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</si>
  <si>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</si>
  <si>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</si>
  <si>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</si>
  <si>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</si>
  <si>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</si>
  <si>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</si>
  <si>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</si>
  <si>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</si>
  <si>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</si>
  <si>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</si>
  <si>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</si>
  <si>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</si>
  <si>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</si>
  <si>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</si>
  <si>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</si>
  <si>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</si>
  <si>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</si>
  <si>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</si>
  <si>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</si>
  <si>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</si>
  <si>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</si>
  <si>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</si>
  <si>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</si>
  <si>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</si>
  <si>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合并</t>
  </si>
  <si>
    <t>单体</t>
  </si>
  <si>
    <t>公司类型</t>
    <phoneticPr fontId="1" type="noConversion"/>
  </si>
  <si>
    <t>国有企业</t>
  </si>
  <si>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</si>
  <si>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</si>
  <si>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</si>
  <si>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</si>
  <si>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</si>
  <si>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无</t>
  </si>
  <si>
    <t>内部控制审计</t>
    <phoneticPr fontId="1" type="noConversion"/>
  </si>
  <si>
    <t>关键审计事项</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</si>
  <si>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</si>
  <si>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</si>
  <si>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</si>
  <si>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</si>
  <si>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</si>
  <si>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本报表类型</t>
    <phoneticPr fontId="1" type="noConversion"/>
  </si>
  <si>
    <t>金融工具准则</t>
    <phoneticPr fontId="1" type="noConversion"/>
  </si>
  <si>
    <t>老金融工具准则</t>
  </si>
  <si>
    <t>部分新金融工具准则</t>
  </si>
  <si>
    <t>收入准则</t>
    <phoneticPr fontId="1" type="noConversion"/>
  </si>
  <si>
    <t>新收入准则</t>
    <phoneticPr fontId="1" type="noConversion"/>
  </si>
  <si>
    <t>老收入准则</t>
  </si>
  <si>
    <t>租赁准则</t>
    <phoneticPr fontId="1" type="noConversion"/>
  </si>
  <si>
    <t>老租赁准则</t>
  </si>
  <si>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</si>
  <si>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</si>
  <si>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</si>
  <si>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</si>
  <si>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</si>
  <si>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</si>
  <si>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</si>
  <si>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</si>
  <si>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</si>
  <si>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</si>
  <si>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</si>
  <si>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</si>
  <si>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</si>
  <si>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</si>
  <si>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</si>
  <si>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</si>
  <si>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</si>
  <si>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</si>
  <si>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</si>
  <si>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</si>
  <si>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加权平均法</t>
  </si>
  <si>
    <t>盘点方法</t>
    <phoneticPr fontId="1" type="noConversion"/>
  </si>
  <si>
    <t>永续盘存制</t>
  </si>
  <si>
    <t>低值易耗品摊销方法</t>
    <phoneticPr fontId="1" type="noConversion"/>
  </si>
  <si>
    <t>一次摊销法</t>
  </si>
  <si>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</si>
  <si>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</si>
  <si>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</si>
  <si>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</si>
  <si>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</si>
  <si>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</si>
  <si>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</si>
  <si>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</si>
  <si>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</si>
  <si>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</si>
  <si>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</si>
  <si>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</si>
  <si>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</si>
  <si>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</si>
  <si>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</si>
  <si>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</si>
  <si>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</si>
  <si>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</si>
  <si>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</si>
  <si>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</si>
  <si>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</si>
  <si>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</si>
  <si>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</si>
  <si>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</si>
  <si>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</si>
  <si>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</si>
  <si>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</si>
  <si>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</si>
  <si>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</si>
  <si>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</si>
  <si>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</si>
  <si>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</si>
  <si>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</si>
  <si>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</si>
  <si>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否</t>
  </si>
  <si>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</si>
  <si>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</si>
  <si>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</si>
  <si>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</si>
  <si>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</si>
  <si>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</si>
  <si>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</si>
  <si>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</si>
  <si>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</si>
  <si>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</si>
  <si>
    <t>备注</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</si>
  <si>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</si>
  <si>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t>
    <phoneticPr fontId="1" type="noConversion"/>
  </si>
  <si>
    <t>["新金融工具准则","新收入准则","新租赁准则"]</t>
    <phoneticPr fontId="1" type="noConversion"/>
  </si>
  <si>
    <t>12(S)=So+S1+Si×Mi÷Mo-Sj×Mj÷Mo-Sk</t>
  </si>
  <si>
    <t>20=[1+(15-17)×(1-16)]÷(12+18)</t>
  </si>
  <si>
    <t>21=[3+(15-17)×(1-16)]÷(12+18)</t>
  </si>
  <si>
    <t>16=Eo+P÷2+Ei×Mi÷Mo－Ej×Mj÷Mo±Ek×Mk÷Mo</t>
  </si>
  <si>
    <t>其中：对外交易收入</t>
  </si>
  <si>
    <t>分部间交易收入</t>
  </si>
  <si>
    <t>1.交易性金融资产和其他非流动金融资产</t>
  </si>
  <si>
    <t>(1)分类为以公允价值计量且其变动计入当期损益的金融资产</t>
  </si>
  <si>
    <t>(2)指定为以公允价值计量且其变动计入当期损益的金融资产</t>
  </si>
  <si>
    <t>2.其他债权投资</t>
  </si>
  <si>
    <t>3.其他权益工具投资</t>
  </si>
  <si>
    <t>4.投资性房地产</t>
  </si>
  <si>
    <t>(1)出租用的土地使用权</t>
  </si>
  <si>
    <t>(2)出租的建筑物</t>
  </si>
  <si>
    <t>(3)持有并准备增值后转让的土地使用权</t>
  </si>
  <si>
    <t>5.生物资产</t>
  </si>
  <si>
    <t>(1)消耗性生物资产</t>
  </si>
  <si>
    <t>(2)生产性生物资产</t>
  </si>
  <si>
    <t>6.交易性金融负债</t>
  </si>
  <si>
    <t>(1)交易性金融负债</t>
  </si>
  <si>
    <t>(2)指定为以公允价值计量且其变动计入当期损益的金融负债</t>
  </si>
  <si>
    <t>现金</t>
  </si>
  <si>
    <t>非现金资产的公允价值</t>
  </si>
  <si>
    <t>调整盈余公积</t>
  </si>
  <si>
    <t>调整未分配利润</t>
  </si>
  <si>
    <t>非现金资产的账面价值</t>
  </si>
  <si>
    <t>发行或承担的债务的账面价值</t>
  </si>
  <si>
    <t>发行的权益性证券的面值</t>
  </si>
  <si>
    <t>或有对价</t>
  </si>
  <si>
    <t>港币</t>
  </si>
  <si>
    <t>可随时用于支付的银行存款</t>
  </si>
  <si>
    <t>可随时用于支付的其他货币资金</t>
  </si>
  <si>
    <t>可用于支付的存放中央银行款项</t>
  </si>
  <si>
    <t>存放同业款项</t>
  </si>
  <si>
    <t>拆放同业款项</t>
  </si>
  <si>
    <t>不征税收入用于支出所形成的费用</t>
  </si>
  <si>
    <t>职工福利费</t>
  </si>
  <si>
    <t>工会经费</t>
  </si>
  <si>
    <t>职工教育经费</t>
  </si>
  <si>
    <t>为投资者支付的商业保险</t>
  </si>
  <si>
    <t>补充养老保险</t>
  </si>
  <si>
    <t>补充医疗保险</t>
  </si>
  <si>
    <t>向非金融企业借款的利息支出</t>
  </si>
  <si>
    <t>广告费和业务宣传费</t>
  </si>
  <si>
    <t>公益性捐赠支出</t>
  </si>
  <si>
    <t>赞助支出</t>
  </si>
  <si>
    <t>税收滞纳金</t>
  </si>
  <si>
    <t>罚金、罚款支出</t>
  </si>
  <si>
    <t>与取得收入无关的支出</t>
  </si>
  <si>
    <t>不合规支出</t>
  </si>
  <si>
    <t>预提费用增加额</t>
  </si>
  <si>
    <t>未按权责发生制确认的收入</t>
  </si>
  <si>
    <t>不征税收入</t>
  </si>
  <si>
    <t>股息红利收入</t>
  </si>
  <si>
    <t>国债利息收入</t>
  </si>
  <si>
    <t>权益法核算的投资收益</t>
  </si>
  <si>
    <t>公允价值变动损益</t>
  </si>
  <si>
    <t>技术转让所得</t>
  </si>
  <si>
    <t>研究开发费附加扣除额</t>
  </si>
  <si>
    <t>企业安置残疾人员工资加计扣除额</t>
  </si>
  <si>
    <t>投资未上市中小企业投资额</t>
  </si>
  <si>
    <t>经批准的财产损失税前扣除</t>
  </si>
  <si>
    <t>上年度结转的超标广告费</t>
  </si>
  <si>
    <t>上年度结转的超标职工教育经费</t>
  </si>
  <si>
    <t>上年度结转的超标捐赠支出</t>
  </si>
  <si>
    <t>未按权责发生制确认的收入本期确认</t>
  </si>
  <si>
    <t>预提费用减少额</t>
  </si>
  <si>
    <t>减：利息收入</t>
  </si>
  <si>
    <t>①当期服务成本</t>
  </si>
  <si>
    <t>②过去服务成本</t>
  </si>
  <si>
    <t>③结算利得（损失以“－”表示）</t>
  </si>
  <si>
    <t>④利息净额</t>
  </si>
  <si>
    <t>①精算利得（损失以“－”表示）</t>
  </si>
  <si>
    <t>①结算时支付的对价</t>
  </si>
  <si>
    <t>②已支付的福利</t>
  </si>
  <si>
    <t> 2、归属于母公司其他权益持有者的权益</t>
  </si>
  <si>
    <t>      综合收益总额</t>
  </si>
  <si>
    <t>      当期已分配股利</t>
  </si>
  <si>
    <t>      累计未分配股利</t>
  </si>
  <si>
    <t>转股条件</t>
  </si>
  <si>
    <t>年份</t>
  </si>
  <si>
    <t>存在公开报价的权益投资的公允价值</t>
  </si>
  <si>
    <t>对子公司投资</t>
  </si>
  <si>
    <t>对合营企业投资</t>
  </si>
  <si>
    <t>对联营企业投资</t>
  </si>
  <si>
    <t>减：长期股权投资减值准备</t>
  </si>
  <si>
    <t>金融资产转移方式</t>
  </si>
  <si>
    <t>其中：未实现融资收益</t>
  </si>
  <si>
    <t>按成本计量的</t>
  </si>
  <si>
    <t>确定可变现净值的具体依据</t>
  </si>
  <si>
    <t>本期转回存货跌价准备的原因</t>
  </si>
  <si>
    <t>本期转销存货跌价准备的原因</t>
  </si>
  <si>
    <t>账面余额</t>
    <phoneticPr fontId="1" type="noConversion"/>
  </si>
  <si>
    <t>收回或转回金额</t>
    <phoneticPr fontId="1" type="noConversion"/>
  </si>
  <si>
    <t>核销金额</t>
    <phoneticPr fontId="1" type="noConversion"/>
  </si>
  <si>
    <t>转回或收回金额</t>
    <phoneticPr fontId="1" type="noConversion"/>
  </si>
  <si>
    <t>期初账面余额</t>
    <phoneticPr fontId="1" type="noConversion"/>
  </si>
  <si>
    <t>期末数</t>
    <phoneticPr fontId="1" type="noConversion"/>
  </si>
  <si>
    <t>期末余额</t>
    <phoneticPr fontId="1" type="noConversion"/>
  </si>
  <si>
    <t>账面余额</t>
    <phoneticPr fontId="1" type="noConversion"/>
  </si>
  <si>
    <t>期初数</t>
    <phoneticPr fontId="1" type="noConversion"/>
  </si>
  <si>
    <t>账面余额</t>
    <phoneticPr fontId="1" type="noConversion"/>
  </si>
  <si>
    <t>期末账面价值</t>
    <phoneticPr fontId="1" type="noConversion"/>
  </si>
  <si>
    <t>期初余额</t>
    <phoneticPr fontId="1" type="noConversion"/>
  </si>
  <si>
    <t>期末余额</t>
    <phoneticPr fontId="1" type="noConversion"/>
  </si>
  <si>
    <t>期末数</t>
    <phoneticPr fontId="1" type="noConversion"/>
  </si>
  <si>
    <t>投资成本</t>
    <phoneticPr fontId="1" type="noConversion"/>
  </si>
  <si>
    <t>面值</t>
    <phoneticPr fontId="1" type="noConversion"/>
  </si>
  <si>
    <t>终止确认的长期应收款金额</t>
    <phoneticPr fontId="1" type="noConversion"/>
  </si>
  <si>
    <t>合计</t>
    <phoneticPr fontId="1" type="noConversion"/>
  </si>
  <si>
    <t>本期计提减值准备</t>
    <phoneticPr fontId="1" type="noConversion"/>
  </si>
  <si>
    <t>减值准备期末数</t>
    <phoneticPr fontId="1" type="noConversion"/>
  </si>
  <si>
    <t>当期累计未确认的投资损失金额</t>
    <phoneticPr fontId="1" type="noConversion"/>
  </si>
  <si>
    <t>指定为以公允价值计量且其变动计入其他综合收益的原因</t>
    <phoneticPr fontId="1" type="noConversion"/>
  </si>
  <si>
    <t>累计利得</t>
    <phoneticPr fontId="1" type="noConversion"/>
  </si>
  <si>
    <t>累计损失</t>
    <phoneticPr fontId="1" type="noConversion"/>
  </si>
  <si>
    <t>账面价值</t>
    <phoneticPr fontId="1" type="noConversion"/>
  </si>
  <si>
    <t>账面原值</t>
    <phoneticPr fontId="1" type="noConversion"/>
  </si>
  <si>
    <t>本期计提金额</t>
    <phoneticPr fontId="1" type="noConversion"/>
  </si>
  <si>
    <t>期末递延所得税资产</t>
    <phoneticPr fontId="1" type="noConversion"/>
  </si>
  <si>
    <t>逾期金额</t>
    <phoneticPr fontId="1" type="noConversion"/>
  </si>
  <si>
    <t>未支付金额</t>
    <phoneticPr fontId="1" type="noConversion"/>
  </si>
  <si>
    <t>本期数</t>
    <phoneticPr fontId="1" type="noConversion"/>
  </si>
  <si>
    <t>上年同期数</t>
    <phoneticPr fontId="1" type="noConversion"/>
  </si>
  <si>
    <t>现金等价物</t>
    <phoneticPr fontId="1" type="noConversion"/>
  </si>
  <si>
    <t>期末现金及现金等价物余额</t>
    <phoneticPr fontId="1" type="noConversion"/>
  </si>
  <si>
    <t>现金</t>
    <phoneticPr fontId="1" type="noConversion"/>
  </si>
  <si>
    <t>期末外币余额</t>
    <phoneticPr fontId="1" type="noConversion"/>
  </si>
  <si>
    <t>金额</t>
    <phoneticPr fontId="1" type="noConversion"/>
  </si>
  <si>
    <t>销售额</t>
    <phoneticPr fontId="1" type="noConversion"/>
  </si>
  <si>
    <t>合计</t>
    <phoneticPr fontId="1" type="noConversion"/>
  </si>
  <si>
    <t>账面价值</t>
    <phoneticPr fontId="1" type="noConversion"/>
  </si>
  <si>
    <t>利率变动</t>
    <phoneticPr fontId="1" type="noConversion"/>
  </si>
  <si>
    <t>变动前持股比例</t>
    <phoneticPr fontId="1" type="noConversion"/>
  </si>
  <si>
    <t>变动后持股比例</t>
    <phoneticPr fontId="1" type="noConversion"/>
  </si>
  <si>
    <r>
      <t>股权取得比例（</t>
    </r>
    <r>
      <rPr>
        <sz val="10.5"/>
        <color theme="1"/>
        <rFont val="Arial"/>
        <family val="2"/>
      </rPr>
      <t>%</t>
    </r>
    <r>
      <rPr>
        <sz val="10.5"/>
        <color theme="1"/>
        <rFont val="宋体"/>
        <family val="3"/>
        <charset val="134"/>
      </rPr>
      <t>）</t>
    </r>
    <phoneticPr fontId="1" type="noConversion"/>
  </si>
  <si>
    <t>购买日至年末被购买方的净利润</t>
    <phoneticPr fontId="1" type="noConversion"/>
  </si>
  <si>
    <t>出资额</t>
    <phoneticPr fontId="1" type="noConversion"/>
  </si>
  <si>
    <t>处置日净资产</t>
    <phoneticPr fontId="1" type="noConversion"/>
  </si>
  <si>
    <t>担保金额</t>
    <phoneticPr fontId="1" type="noConversion"/>
  </si>
  <si>
    <t>索引</t>
    <phoneticPr fontId="1" type="noConversion"/>
  </si>
  <si>
    <t>银行承兑汇票组合</t>
  </si>
  <si>
    <t>商业承兑汇票组合</t>
  </si>
  <si>
    <t>应收账款组合</t>
  </si>
  <si>
    <t>应计利息</t>
    <phoneticPr fontId="1" type="noConversion"/>
  </si>
  <si>
    <t>项目类型</t>
    <phoneticPr fontId="1" type="noConversion"/>
  </si>
  <si>
    <t>应收对方单位全称</t>
  </si>
  <si>
    <t>期末原值</t>
  </si>
  <si>
    <t>1至2年</t>
  </si>
  <si>
    <t>2至3年</t>
  </si>
  <si>
    <t>是否逾期</t>
  </si>
  <si>
    <t>逾期时间</t>
  </si>
  <si>
    <t>是否发生减值及判断依据</t>
  </si>
  <si>
    <t>分类</t>
    <phoneticPr fontId="1" type="noConversion"/>
  </si>
  <si>
    <t>期末净值</t>
    <phoneticPr fontId="1" type="noConversion"/>
  </si>
  <si>
    <t>收购增加（含业务合并和企业合并）</t>
  </si>
  <si>
    <t>本期增加（不含收购）</t>
  </si>
  <si>
    <t>期末坏账准备合计</t>
  </si>
  <si>
    <t xml:space="preserve">项目名称 </t>
    <phoneticPr fontId="1" type="noConversion"/>
  </si>
  <si>
    <t>业务模式</t>
    <phoneticPr fontId="1" type="noConversion"/>
  </si>
  <si>
    <t>工期</t>
    <phoneticPr fontId="1" type="noConversion"/>
  </si>
  <si>
    <t xml:space="preserve">本期确认收入 </t>
    <phoneticPr fontId="1" type="noConversion"/>
  </si>
  <si>
    <t>履约进度</t>
    <phoneticPr fontId="1" type="noConversion"/>
  </si>
  <si>
    <t>累计确认收入</t>
    <phoneticPr fontId="1" type="noConversion"/>
  </si>
  <si>
    <t>本期成本投入</t>
    <phoneticPr fontId="1" type="noConversion"/>
  </si>
  <si>
    <t>累计成本投入</t>
    <phoneticPr fontId="1" type="noConversion"/>
  </si>
  <si>
    <t>预计总成本</t>
    <phoneticPr fontId="1" type="noConversion"/>
  </si>
  <si>
    <t>期初履约成本</t>
    <phoneticPr fontId="1" type="noConversion"/>
  </si>
  <si>
    <t>本期履约成本增加</t>
    <phoneticPr fontId="1" type="noConversion"/>
  </si>
  <si>
    <t>本期履约成本摊销</t>
    <phoneticPr fontId="1" type="noConversion"/>
  </si>
  <si>
    <t>期末履约成本</t>
    <phoneticPr fontId="1" type="noConversion"/>
  </si>
  <si>
    <t>期初履约成本减值准备</t>
    <phoneticPr fontId="1" type="noConversion"/>
  </si>
  <si>
    <t>本期履约成本减值增加</t>
    <phoneticPr fontId="1" type="noConversion"/>
  </si>
  <si>
    <t>本期履约成本减值准备减少</t>
    <phoneticPr fontId="1" type="noConversion"/>
  </si>
  <si>
    <t>期末履约成本减值准备</t>
    <phoneticPr fontId="1" type="noConversion"/>
  </si>
  <si>
    <t>合同资产期初数</t>
    <phoneticPr fontId="1" type="noConversion"/>
  </si>
  <si>
    <t>合同资产本期增加</t>
    <phoneticPr fontId="1" type="noConversion"/>
  </si>
  <si>
    <t>合同资产本期减少</t>
    <phoneticPr fontId="1" type="noConversion"/>
  </si>
  <si>
    <t>合同资产期末数</t>
    <phoneticPr fontId="1" type="noConversion"/>
  </si>
  <si>
    <t>本期结算金额</t>
    <phoneticPr fontId="1" type="noConversion"/>
  </si>
  <si>
    <t>累计已结算金额</t>
    <phoneticPr fontId="1" type="noConversion"/>
  </si>
  <si>
    <t>本期收款金额</t>
    <phoneticPr fontId="1" type="noConversion"/>
  </si>
  <si>
    <t>累计已收款金额</t>
    <phoneticPr fontId="1" type="noConversion"/>
  </si>
  <si>
    <t>应收账款期初数</t>
    <phoneticPr fontId="1" type="noConversion"/>
  </si>
  <si>
    <t>应收款项本期增加</t>
    <phoneticPr fontId="1" type="noConversion"/>
  </si>
  <si>
    <t>应收款项本期减少</t>
    <phoneticPr fontId="1" type="noConversion"/>
  </si>
  <si>
    <t>应收款项期末数</t>
    <phoneticPr fontId="1" type="noConversion"/>
  </si>
  <si>
    <t>本期计算期初未结算金额</t>
    <phoneticPr fontId="1" type="noConversion"/>
  </si>
  <si>
    <t>本期结算本期完工金额</t>
    <phoneticPr fontId="1" type="noConversion"/>
  </si>
  <si>
    <t>对方单位</t>
    <phoneticPr fontId="1" type="noConversion"/>
  </si>
  <si>
    <t>计提方式</t>
    <phoneticPr fontId="1" type="noConversion"/>
  </si>
  <si>
    <t>组合分类</t>
    <phoneticPr fontId="1" type="noConversion"/>
  </si>
  <si>
    <t>基础设施建设项目</t>
  </si>
  <si>
    <t>土地一级开发项目</t>
  </si>
  <si>
    <t>处于建设期的金融资产模式的 PPP 项目</t>
  </si>
  <si>
    <t>未到期的质保金</t>
  </si>
  <si>
    <t>一年以内结算</t>
    <phoneticPr fontId="1" type="noConversion"/>
  </si>
  <si>
    <t>一年以上结算</t>
    <phoneticPr fontId="1" type="noConversion"/>
  </si>
  <si>
    <t>一年以内结算坏账准备</t>
    <phoneticPr fontId="1" type="noConversion"/>
  </si>
  <si>
    <t>一年以上结算坏账准备</t>
    <phoneticPr fontId="1" type="noConversion"/>
  </si>
  <si>
    <t>原值1年以内</t>
    <phoneticPr fontId="1" type="noConversion"/>
  </si>
  <si>
    <t>原值1-2年</t>
    <phoneticPr fontId="1" type="noConversion"/>
  </si>
  <si>
    <t>原值2-3年</t>
    <phoneticPr fontId="1" type="noConversion"/>
  </si>
  <si>
    <t>原值3-4年</t>
    <phoneticPr fontId="1" type="noConversion"/>
  </si>
  <si>
    <t>原值4-5年</t>
    <phoneticPr fontId="1" type="noConversion"/>
  </si>
  <si>
    <t>原值5年以上</t>
    <phoneticPr fontId="1" type="noConversion"/>
  </si>
  <si>
    <t>原值校验</t>
    <phoneticPr fontId="1" type="noConversion"/>
  </si>
  <si>
    <t>坏账准备1年以内</t>
  </si>
  <si>
    <t>坏账准备1-2年</t>
  </si>
  <si>
    <t>坏账准备2-3年</t>
  </si>
  <si>
    <t>坏账准备3-4年</t>
  </si>
  <si>
    <t>坏账准备4-5年</t>
  </si>
  <si>
    <t>坏账准备5年以上</t>
  </si>
  <si>
    <t>坏账准备校验</t>
    <phoneticPr fontId="1" type="noConversion"/>
  </si>
  <si>
    <t>科目分类</t>
  </si>
  <si>
    <t>期初原值</t>
  </si>
  <si>
    <t>预计处置时间</t>
  </si>
  <si>
    <t>本年转回</t>
  </si>
  <si>
    <t>期初预计处置费用</t>
    <phoneticPr fontId="1" type="noConversion"/>
  </si>
  <si>
    <t>应收票据及应收账款</t>
  </si>
  <si>
    <t>生物性生物资产</t>
  </si>
  <si>
    <t>期末预计处置费用</t>
    <phoneticPr fontId="1" type="noConversion"/>
  </si>
  <si>
    <t>出售原因及方式</t>
    <phoneticPr fontId="1" type="noConversion"/>
  </si>
  <si>
    <t>期末账面余额</t>
    <phoneticPr fontId="1" type="noConversion"/>
  </si>
  <si>
    <t>减值准备</t>
    <phoneticPr fontId="1" type="noConversion"/>
  </si>
  <si>
    <t>本期计提</t>
    <phoneticPr fontId="1" type="noConversion"/>
  </si>
  <si>
    <t>项目类别</t>
    <phoneticPr fontId="1" type="noConversion"/>
  </si>
  <si>
    <t>期末减值</t>
    <phoneticPr fontId="1" type="noConversion"/>
  </si>
  <si>
    <t>期初减值</t>
    <phoneticPr fontId="1" type="noConversion"/>
  </si>
  <si>
    <t>合同项目</t>
    <phoneticPr fontId="1" type="noConversion"/>
  </si>
  <si>
    <t>本期转销</t>
    <phoneticPr fontId="1" type="noConversion"/>
  </si>
  <si>
    <t>债权项目</t>
    <phoneticPr fontId="1" type="noConversion"/>
  </si>
  <si>
    <t>期初面值</t>
    <phoneticPr fontId="1" type="noConversion"/>
  </si>
  <si>
    <t>期初票面利率</t>
    <phoneticPr fontId="1" type="noConversion"/>
  </si>
  <si>
    <t>期初实际利率</t>
    <phoneticPr fontId="1" type="noConversion"/>
  </si>
  <si>
    <t>期初到期日</t>
    <phoneticPr fontId="1" type="noConversion"/>
  </si>
  <si>
    <t>期初初始成本</t>
    <phoneticPr fontId="1" type="noConversion"/>
  </si>
  <si>
    <t>期初利息调整</t>
    <phoneticPr fontId="1" type="noConversion"/>
  </si>
  <si>
    <t>期初应计利息</t>
    <phoneticPr fontId="1" type="noConversion"/>
  </si>
  <si>
    <t>本期新增</t>
    <phoneticPr fontId="1" type="noConversion"/>
  </si>
  <si>
    <t>本期处置</t>
    <phoneticPr fontId="1" type="noConversion"/>
  </si>
  <si>
    <t>本期利息调整</t>
    <phoneticPr fontId="1" type="noConversion"/>
  </si>
  <si>
    <t>本期应计利息</t>
    <phoneticPr fontId="1" type="noConversion"/>
  </si>
  <si>
    <t>期末初始成本</t>
    <phoneticPr fontId="1" type="noConversion"/>
  </si>
  <si>
    <t>期末利息调整</t>
    <phoneticPr fontId="1" type="noConversion"/>
  </si>
  <si>
    <t>期末应计利息</t>
    <phoneticPr fontId="1" type="noConversion"/>
  </si>
  <si>
    <t>期末面值</t>
    <phoneticPr fontId="1" type="noConversion"/>
  </si>
  <si>
    <t>期末票面利率</t>
    <phoneticPr fontId="1" type="noConversion"/>
  </si>
  <si>
    <t>期末实际利率</t>
    <phoneticPr fontId="1" type="noConversion"/>
  </si>
  <si>
    <t>期末到期日</t>
    <phoneticPr fontId="1" type="noConversion"/>
  </si>
  <si>
    <t>期初余额在本期</t>
  </si>
  <si>
    <t>转入第二阶段</t>
    <phoneticPr fontId="1" type="noConversion"/>
  </si>
  <si>
    <t>转入第三阶段</t>
    <phoneticPr fontId="1" type="noConversion"/>
  </si>
  <si>
    <t>转回第二阶段</t>
    <phoneticPr fontId="1" type="noConversion"/>
  </si>
  <si>
    <t>转回第一阶段</t>
    <phoneticPr fontId="1" type="noConversion"/>
  </si>
  <si>
    <t>阶段划分</t>
    <phoneticPr fontId="1" type="noConversion"/>
  </si>
  <si>
    <t>本期公允价值变动</t>
    <phoneticPr fontId="1" type="noConversion"/>
  </si>
  <si>
    <t>期末公允价值变动</t>
    <phoneticPr fontId="1" type="noConversion"/>
  </si>
  <si>
    <t>期初公允价值变动损益</t>
    <phoneticPr fontId="1" type="noConversion"/>
  </si>
  <si>
    <t>与本公司关系</t>
  </si>
  <si>
    <t>长期应收款性质</t>
  </si>
  <si>
    <t>是否收取利息</t>
  </si>
  <si>
    <t>利率(%)</t>
  </si>
  <si>
    <t>期末余额合计</t>
  </si>
  <si>
    <t>项目或对方单位</t>
    <phoneticPr fontId="1" type="noConversion"/>
  </si>
  <si>
    <t>期初余额合计</t>
    <phoneticPr fontId="1" type="noConversion"/>
  </si>
  <si>
    <t>分期收款销售商品（不含融资租赁）</t>
  </si>
  <si>
    <t>期末坏账准备1年以内收回额</t>
    <phoneticPr fontId="1" type="noConversion"/>
  </si>
  <si>
    <t>期末坏账准备1年以上收回</t>
    <phoneticPr fontId="1" type="noConversion"/>
  </si>
  <si>
    <t>期末余额1年以内收回额</t>
    <phoneticPr fontId="1" type="noConversion"/>
  </si>
  <si>
    <t>期末余额1年以上收回</t>
    <phoneticPr fontId="1" type="noConversion"/>
  </si>
  <si>
    <t>期初余额1年以内收回额</t>
  </si>
  <si>
    <t>期初余额1年以上收回</t>
  </si>
  <si>
    <t>期初坏账准备1年以内收回额</t>
  </si>
  <si>
    <t>期初坏账准备1年以上收回</t>
  </si>
  <si>
    <t>款项内容</t>
  </si>
  <si>
    <t>终止确认金额</t>
  </si>
  <si>
    <t>已计提坏账准备</t>
  </si>
  <si>
    <t>对方单位名称</t>
    <phoneticPr fontId="1" type="noConversion"/>
  </si>
  <si>
    <t>应收账款保理</t>
  </si>
  <si>
    <t>资产证券化</t>
  </si>
  <si>
    <t>期初投资成本</t>
    <phoneticPr fontId="1" type="noConversion"/>
  </si>
  <si>
    <t>期初公允价值变动</t>
    <phoneticPr fontId="1" type="noConversion"/>
  </si>
  <si>
    <t>期末投资成本</t>
    <phoneticPr fontId="1" type="noConversion"/>
  </si>
  <si>
    <t>其他综合收益转入留存收益的金额</t>
    <phoneticPr fontId="1" type="noConversion"/>
  </si>
  <si>
    <t>其他综合收益转入留存收益的金额</t>
    <phoneticPr fontId="1" type="noConversion"/>
  </si>
  <si>
    <t>上市权益工具投资</t>
  </si>
  <si>
    <t>非上市权益工具投资</t>
  </si>
  <si>
    <t>投资分类</t>
    <phoneticPr fontId="1" type="noConversion"/>
  </si>
  <si>
    <t>自用房地产或存货转入</t>
  </si>
  <si>
    <t>转为自用房地产</t>
  </si>
  <si>
    <t>资产名称</t>
  </si>
  <si>
    <t>资产类别</t>
  </si>
  <si>
    <t>预计办结产权证书时间</t>
  </si>
  <si>
    <t>减值</t>
  </si>
  <si>
    <t>净值</t>
  </si>
  <si>
    <t>期末累计折旧</t>
  </si>
  <si>
    <t>期末减值</t>
  </si>
  <si>
    <t>期末净值</t>
  </si>
  <si>
    <t>闲置原因</t>
  </si>
  <si>
    <t>预计后续处理方式</t>
  </si>
  <si>
    <t>资产名称</t>
    <phoneticPr fontId="1" type="noConversion"/>
  </si>
  <si>
    <t>租赁金额</t>
    <phoneticPr fontId="1" type="noConversion"/>
  </si>
  <si>
    <t>出租期限</t>
    <phoneticPr fontId="1" type="noConversion"/>
  </si>
  <si>
    <t>预计处置时间</t>
    <phoneticPr fontId="1" type="noConversion"/>
  </si>
  <si>
    <t>本期收购子公司增加（含业务合并购入）</t>
  </si>
  <si>
    <t>融资租赁转入</t>
  </si>
  <si>
    <t>固定资产转入</t>
  </si>
  <si>
    <t>工程物资转入</t>
  </si>
  <si>
    <t>本期转入固定资产</t>
  </si>
  <si>
    <t>本期转入投资性房地产</t>
  </si>
  <si>
    <t>处置子公司减少</t>
  </si>
  <si>
    <t>出售减少</t>
  </si>
  <si>
    <t>报废、毁损减少</t>
  </si>
  <si>
    <t>购建</t>
    <phoneticPr fontId="1" type="noConversion"/>
  </si>
  <si>
    <t>转入固定资产</t>
    <phoneticPr fontId="1" type="noConversion"/>
  </si>
  <si>
    <t>转入投资性房地产</t>
    <phoneticPr fontId="1" type="noConversion"/>
  </si>
  <si>
    <t>报废</t>
    <phoneticPr fontId="1" type="noConversion"/>
  </si>
  <si>
    <t>本期资本化利息</t>
    <phoneticPr fontId="1" type="noConversion"/>
  </si>
  <si>
    <t>本期结转资本化利息</t>
    <phoneticPr fontId="1" type="noConversion"/>
  </si>
  <si>
    <t>期末资本化利息</t>
    <phoneticPr fontId="1" type="noConversion"/>
  </si>
  <si>
    <t>预算数</t>
    <phoneticPr fontId="1" type="noConversion"/>
  </si>
  <si>
    <t>资本化率</t>
    <phoneticPr fontId="1" type="noConversion"/>
  </si>
  <si>
    <t>完工进度</t>
    <phoneticPr fontId="1" type="noConversion"/>
  </si>
  <si>
    <t>减值准备计提原因</t>
    <phoneticPr fontId="1" type="noConversion"/>
  </si>
  <si>
    <t>资金来源</t>
    <phoneticPr fontId="1" type="noConversion"/>
  </si>
  <si>
    <t>本期购买和其他增加</t>
  </si>
  <si>
    <t>并购增加</t>
  </si>
  <si>
    <t>内部开发支出</t>
  </si>
  <si>
    <t>本期其他增加</t>
  </si>
  <si>
    <t>本期其他减少</t>
  </si>
  <si>
    <t>减值准备本期减少</t>
    <phoneticPr fontId="1" type="noConversion"/>
  </si>
  <si>
    <t>期初摊销金额</t>
    <phoneticPr fontId="1" type="noConversion"/>
  </si>
  <si>
    <t>摊销总月份</t>
    <phoneticPr fontId="1" type="noConversion"/>
  </si>
  <si>
    <t>本期摊销月份</t>
    <phoneticPr fontId="1" type="noConversion"/>
  </si>
  <si>
    <t>期末原值</t>
    <phoneticPr fontId="1" type="noConversion"/>
  </si>
  <si>
    <t>期末摊销金额</t>
    <phoneticPr fontId="1" type="noConversion"/>
  </si>
  <si>
    <t>期初原值</t>
    <phoneticPr fontId="1" type="noConversion"/>
  </si>
  <si>
    <t>存货增值</t>
  </si>
  <si>
    <t>应付质保金折现</t>
  </si>
  <si>
    <t>计入其他综合收益的可供出售金融资产公允价值变动（公允价值增值）</t>
  </si>
  <si>
    <t>计入当期损益部分</t>
    <phoneticPr fontId="1" type="noConversion"/>
  </si>
  <si>
    <t>计入其他综合收益部分</t>
    <phoneticPr fontId="1" type="noConversion"/>
  </si>
  <si>
    <t>冲减损益部分</t>
    <phoneticPr fontId="1" type="noConversion"/>
  </si>
  <si>
    <t>冲减其他综合收益部分</t>
    <phoneticPr fontId="1" type="noConversion"/>
  </si>
  <si>
    <t>核算内容</t>
  </si>
  <si>
    <t>收购增加（含企业合并和业务合并）</t>
  </si>
  <si>
    <t>长期债权投资</t>
  </si>
  <si>
    <t>拨出专项资金</t>
  </si>
  <si>
    <t>借款合同号</t>
  </si>
  <si>
    <t>贷款单位/银行</t>
  </si>
  <si>
    <t>借款方式</t>
  </si>
  <si>
    <t>原币币种</t>
  </si>
  <si>
    <t>抵押物/担保人/质押物</t>
  </si>
  <si>
    <t>保证人与借款单位关系</t>
  </si>
  <si>
    <t>借款日期</t>
  </si>
  <si>
    <t>合同约定到期日期</t>
  </si>
  <si>
    <t>计息方式</t>
  </si>
  <si>
    <t>借款利率</t>
  </si>
  <si>
    <t>本期借入</t>
  </si>
  <si>
    <t>实际归还日期</t>
  </si>
  <si>
    <t>是否大于一年</t>
  </si>
  <si>
    <t>期末原币金额</t>
  </si>
  <si>
    <t>期初原币金额</t>
  </si>
  <si>
    <t>逾期利率</t>
    <phoneticPr fontId="1" type="noConversion"/>
  </si>
  <si>
    <t>期初数</t>
    <phoneticPr fontId="1" type="noConversion"/>
  </si>
  <si>
    <t>房款</t>
  </si>
  <si>
    <t>本期支付</t>
  </si>
  <si>
    <t>期初账面价值</t>
    <phoneticPr fontId="36" type="noConversion"/>
  </si>
  <si>
    <t>收购子公司（含业务合并）增加</t>
    <phoneticPr fontId="1" type="noConversion"/>
  </si>
  <si>
    <t>本期支付</t>
    <phoneticPr fontId="1" type="noConversion"/>
  </si>
  <si>
    <t>处置子公司减少</t>
    <phoneticPr fontId="1" type="noConversion"/>
  </si>
  <si>
    <t>期末账面价值</t>
    <phoneticPr fontId="36" type="noConversion"/>
  </si>
  <si>
    <t>计提合计</t>
    <phoneticPr fontId="1" type="noConversion"/>
  </si>
  <si>
    <t>计入在建工程</t>
    <phoneticPr fontId="1" type="noConversion"/>
  </si>
  <si>
    <t>计入生产成本</t>
    <phoneticPr fontId="1" type="noConversion"/>
  </si>
  <si>
    <t>计入制造费用</t>
    <phoneticPr fontId="1" type="noConversion"/>
  </si>
  <si>
    <t>计入销售费用</t>
    <phoneticPr fontId="1" type="noConversion"/>
  </si>
  <si>
    <t>计入管理费用</t>
    <phoneticPr fontId="1" type="noConversion"/>
  </si>
  <si>
    <t>计入研发费用</t>
    <phoneticPr fontId="1" type="noConversion"/>
  </si>
  <si>
    <t>计入开发间接费</t>
    <phoneticPr fontId="1" type="noConversion"/>
  </si>
  <si>
    <t>1.销项税额小计</t>
  </si>
  <si>
    <t xml:space="preserve"> ①销项税额-销售产品、原材料、提供劳务等</t>
  </si>
  <si>
    <t xml:space="preserve"> ②销项税额-销售固定资产</t>
  </si>
  <si>
    <t>2.进项税额小计</t>
  </si>
  <si>
    <t xml:space="preserve"> ①进项税额-采购原材料、购买服务、运输费等</t>
  </si>
  <si>
    <t xml:space="preserve"> ②进项税额-采购固定资产</t>
  </si>
  <si>
    <t xml:space="preserve"> ③进项税额-待抵扣进项税额</t>
  </si>
  <si>
    <t xml:space="preserve"> ④进项税额-待认证进项税额</t>
  </si>
  <si>
    <t>3.进项税额转出</t>
  </si>
  <si>
    <t>4.减免税款</t>
  </si>
  <si>
    <t>5.已交税金</t>
  </si>
  <si>
    <t>6.出口抵减内销商品应纳税额</t>
  </si>
  <si>
    <t>7.出口退税</t>
  </si>
  <si>
    <t>转出未交增值税</t>
  </si>
  <si>
    <t>转出多交增值税</t>
  </si>
  <si>
    <t>未交增值税</t>
  </si>
  <si>
    <t>预交增值税</t>
  </si>
  <si>
    <t>简易计税</t>
  </si>
  <si>
    <t>转让金融商品应交增值税</t>
  </si>
  <si>
    <t>代扣代交增值税</t>
  </si>
  <si>
    <t>增值税负数重分类至其他流动资产或转回金额</t>
  </si>
  <si>
    <t>本期计提增值税列示金额</t>
  </si>
  <si>
    <t xml:space="preserve"> ③销项税额抵减</t>
    <phoneticPr fontId="1" type="noConversion"/>
  </si>
  <si>
    <t xml:space="preserve"> ⑤进项税额-增值税留抵税额</t>
    <phoneticPr fontId="1" type="noConversion"/>
  </si>
  <si>
    <t>校验</t>
  </si>
  <si>
    <t>性质</t>
  </si>
  <si>
    <t>划分为金融负债的优先股/永续债利息</t>
  </si>
  <si>
    <t>是否逾期</t>
    <phoneticPr fontId="1" type="noConversion"/>
  </si>
  <si>
    <t>逾期原因</t>
    <phoneticPr fontId="1" type="noConversion"/>
  </si>
  <si>
    <t>本期收购子公司（含业务合并）增加</t>
  </si>
  <si>
    <t>账龄一年以上未支付原因</t>
    <phoneticPr fontId="1" type="noConversion"/>
  </si>
  <si>
    <t>划分为权益工具的优先股/永续债股利</t>
  </si>
  <si>
    <t>未偿还原因</t>
    <phoneticPr fontId="1" type="noConversion"/>
  </si>
  <si>
    <t>账龄一年以上未偿还原因</t>
    <phoneticPr fontId="1" type="noConversion"/>
  </si>
  <si>
    <t>合同编号</t>
  </si>
  <si>
    <t>贷款原币币种</t>
  </si>
  <si>
    <t>保证人/抵押物/质押物</t>
  </si>
  <si>
    <t>期初贷款额</t>
  </si>
  <si>
    <t>期初重分类</t>
  </si>
  <si>
    <t>并购带入（含一年内到期）</t>
  </si>
  <si>
    <t>并购带入一年内到期部分</t>
  </si>
  <si>
    <t>偿还日期</t>
  </si>
  <si>
    <t>处置子公司而减少</t>
  </si>
  <si>
    <t>其它减少(不含重分类至1年内到期)</t>
  </si>
  <si>
    <t>期末贷款金额</t>
  </si>
  <si>
    <t>1年内到期（需重分类）</t>
  </si>
  <si>
    <t>1-2年内到期</t>
  </si>
  <si>
    <t>2-3年内到期</t>
  </si>
  <si>
    <t>3-4年内到期</t>
  </si>
  <si>
    <t>4-5年内到期</t>
  </si>
  <si>
    <t>到期时间5年以上</t>
  </si>
  <si>
    <t>账龄检查</t>
  </si>
  <si>
    <t>期初贷款原币金额</t>
  </si>
  <si>
    <t>期末贷款原币金额</t>
  </si>
  <si>
    <t>类型</t>
    <phoneticPr fontId="1" type="noConversion"/>
  </si>
  <si>
    <t>本期收入</t>
  </si>
  <si>
    <t>本期成本</t>
  </si>
  <si>
    <t>上年同期收入</t>
  </si>
  <si>
    <t>上年同期成本</t>
  </si>
  <si>
    <t>货币种类</t>
    <phoneticPr fontId="1" type="noConversion"/>
  </si>
  <si>
    <t>美元</t>
    <phoneticPr fontId="1" type="noConversion"/>
  </si>
  <si>
    <t>资产金额</t>
    <phoneticPr fontId="1" type="noConversion"/>
  </si>
  <si>
    <t>负债金额</t>
    <phoneticPr fontId="1" type="noConversion"/>
  </si>
  <si>
    <r>
      <t>账面余额</t>
    </r>
    <r>
      <rPr>
        <b/>
        <sz val="10"/>
        <rFont val="Times New Roman"/>
        <family val="1"/>
      </rPr>
      <t>1</t>
    </r>
    <r>
      <rPr>
        <b/>
        <sz val="10"/>
        <rFont val="宋体"/>
        <family val="3"/>
        <charset val="134"/>
      </rPr>
      <t>年以内</t>
    </r>
    <phoneticPr fontId="1" type="noConversion"/>
  </si>
  <si>
    <r>
      <t>账面余额1-2</t>
    </r>
    <r>
      <rPr>
        <b/>
        <sz val="10"/>
        <rFont val="宋体"/>
        <family val="3"/>
        <charset val="134"/>
      </rPr>
      <t>年</t>
    </r>
    <phoneticPr fontId="1" type="noConversion"/>
  </si>
  <si>
    <r>
      <t>账面余额2-3</t>
    </r>
    <r>
      <rPr>
        <b/>
        <sz val="10"/>
        <rFont val="宋体"/>
        <family val="3"/>
        <charset val="134"/>
      </rPr>
      <t>年</t>
    </r>
    <phoneticPr fontId="1" type="noConversion"/>
  </si>
  <si>
    <r>
      <t>账面余额3-4</t>
    </r>
    <r>
      <rPr>
        <b/>
        <sz val="10"/>
        <rFont val="宋体"/>
        <family val="3"/>
        <charset val="134"/>
      </rPr>
      <t>年</t>
    </r>
    <phoneticPr fontId="1" type="noConversion"/>
  </si>
  <si>
    <r>
      <t>账面余额4-5</t>
    </r>
    <r>
      <rPr>
        <b/>
        <sz val="10"/>
        <rFont val="宋体"/>
        <family val="3"/>
        <charset val="134"/>
      </rPr>
      <t>年</t>
    </r>
    <phoneticPr fontId="1" type="noConversion"/>
  </si>
  <si>
    <r>
      <t>账面余额5</t>
    </r>
    <r>
      <rPr>
        <b/>
        <sz val="10"/>
        <rFont val="宋体"/>
        <family val="3"/>
        <charset val="134"/>
      </rPr>
      <t>年以上</t>
    </r>
    <phoneticPr fontId="1" type="noConversion"/>
  </si>
  <si>
    <r>
      <rPr>
        <b/>
        <sz val="10"/>
        <rFont val="宋体"/>
        <family val="3"/>
        <charset val="134"/>
      </rPr>
      <t>坏账准备</t>
    </r>
    <r>
      <rPr>
        <b/>
        <sz val="10"/>
        <rFont val="Times New Roman"/>
        <family val="1"/>
      </rPr>
      <t>1</t>
    </r>
    <r>
      <rPr>
        <b/>
        <sz val="10"/>
        <rFont val="宋体"/>
        <family val="3"/>
        <charset val="134"/>
      </rPr>
      <t>年以内</t>
    </r>
    <phoneticPr fontId="1" type="noConversion"/>
  </si>
  <si>
    <r>
      <t>坏账准备1-2</t>
    </r>
    <r>
      <rPr>
        <b/>
        <sz val="10"/>
        <rFont val="宋体"/>
        <family val="3"/>
        <charset val="134"/>
      </rPr>
      <t>年</t>
    </r>
    <phoneticPr fontId="1" type="noConversion"/>
  </si>
  <si>
    <r>
      <t>坏账准备2-3</t>
    </r>
    <r>
      <rPr>
        <b/>
        <sz val="10"/>
        <rFont val="宋体"/>
        <family val="3"/>
        <charset val="134"/>
      </rPr>
      <t>年</t>
    </r>
    <phoneticPr fontId="1" type="noConversion"/>
  </si>
  <si>
    <r>
      <t>坏账准备3-4</t>
    </r>
    <r>
      <rPr>
        <b/>
        <sz val="10"/>
        <rFont val="宋体"/>
        <family val="3"/>
        <charset val="134"/>
      </rPr>
      <t>年</t>
    </r>
    <phoneticPr fontId="1" type="noConversion"/>
  </si>
  <si>
    <r>
      <t>坏账准备4-5</t>
    </r>
    <r>
      <rPr>
        <b/>
        <sz val="10"/>
        <rFont val="宋体"/>
        <family val="3"/>
        <charset val="134"/>
      </rPr>
      <t>年</t>
    </r>
    <phoneticPr fontId="1" type="noConversion"/>
  </si>
  <si>
    <r>
      <t>坏账准备5</t>
    </r>
    <r>
      <rPr>
        <b/>
        <sz val="10"/>
        <rFont val="宋体"/>
        <family val="3"/>
        <charset val="134"/>
      </rPr>
      <t>年以上</t>
    </r>
    <phoneticPr fontId="1" type="noConversion"/>
  </si>
  <si>
    <r>
      <rPr>
        <b/>
        <sz val="10"/>
        <rFont val="宋体"/>
        <family val="3"/>
        <charset val="134"/>
      </rPr>
      <t>期末价值</t>
    </r>
    <r>
      <rPr>
        <b/>
        <sz val="10"/>
        <rFont val="Times New Roman"/>
        <family val="1"/>
      </rPr>
      <t>1</t>
    </r>
    <r>
      <rPr>
        <b/>
        <sz val="10"/>
        <rFont val="宋体"/>
        <family val="3"/>
        <charset val="134"/>
      </rPr>
      <t>年以内</t>
    </r>
    <phoneticPr fontId="1" type="noConversion"/>
  </si>
  <si>
    <r>
      <t>期末价值1-2</t>
    </r>
    <r>
      <rPr>
        <b/>
        <sz val="10"/>
        <rFont val="宋体"/>
        <family val="3"/>
        <charset val="134"/>
      </rPr>
      <t>年</t>
    </r>
    <phoneticPr fontId="1" type="noConversion"/>
  </si>
  <si>
    <r>
      <t>期末价值2-3</t>
    </r>
    <r>
      <rPr>
        <b/>
        <sz val="10"/>
        <rFont val="宋体"/>
        <family val="3"/>
        <charset val="134"/>
      </rPr>
      <t>年</t>
    </r>
    <phoneticPr fontId="1" type="noConversion"/>
  </si>
  <si>
    <r>
      <t>期末价值3-4</t>
    </r>
    <r>
      <rPr>
        <b/>
        <sz val="10"/>
        <rFont val="宋体"/>
        <family val="3"/>
        <charset val="134"/>
      </rPr>
      <t>年</t>
    </r>
    <phoneticPr fontId="1" type="noConversion"/>
  </si>
  <si>
    <r>
      <t>期末价值4-5</t>
    </r>
    <r>
      <rPr>
        <b/>
        <sz val="10"/>
        <rFont val="宋体"/>
        <family val="3"/>
        <charset val="134"/>
      </rPr>
      <t>年</t>
    </r>
    <phoneticPr fontId="1" type="noConversion"/>
  </si>
  <si>
    <r>
      <t>期末价值5</t>
    </r>
    <r>
      <rPr>
        <b/>
        <sz val="10"/>
        <rFont val="宋体"/>
        <family val="3"/>
        <charset val="134"/>
      </rPr>
      <t>年以上</t>
    </r>
    <phoneticPr fontId="1" type="noConversion"/>
  </si>
  <si>
    <t>账面余额1年以内</t>
    <phoneticPr fontId="1" type="noConversion"/>
  </si>
  <si>
    <t>账面余额1-2年</t>
    <phoneticPr fontId="1" type="noConversion"/>
  </si>
  <si>
    <t>账面余额2-3年</t>
    <phoneticPr fontId="1" type="noConversion"/>
  </si>
  <si>
    <t>账面余额3年以上</t>
    <phoneticPr fontId="1" type="noConversion"/>
  </si>
  <si>
    <t>坏账准备1年以内</t>
    <phoneticPr fontId="1" type="noConversion"/>
  </si>
  <si>
    <t>坏账准备1-2年</t>
    <phoneticPr fontId="1" type="noConversion"/>
  </si>
  <si>
    <t>坏账准备2-3年</t>
    <phoneticPr fontId="1" type="noConversion"/>
  </si>
  <si>
    <t>坏账准备3年以上</t>
    <phoneticPr fontId="1" type="noConversion"/>
  </si>
  <si>
    <t>期末价值1年以内</t>
    <phoneticPr fontId="1" type="noConversion"/>
  </si>
  <si>
    <t>期末价值1-2年</t>
    <phoneticPr fontId="1" type="noConversion"/>
  </si>
  <si>
    <t>期末价值2-3年</t>
    <phoneticPr fontId="1" type="noConversion"/>
  </si>
  <si>
    <t>期末价值3年以上</t>
    <phoneticPr fontId="1" type="noConversion"/>
  </si>
  <si>
    <t>期末余额</t>
    <phoneticPr fontId="1" type="noConversion"/>
  </si>
  <si>
    <t>期末余额1年以内</t>
    <phoneticPr fontId="1" type="noConversion"/>
  </si>
  <si>
    <t>期末余额1至2年</t>
    <phoneticPr fontId="1" type="noConversion"/>
  </si>
  <si>
    <t>期末余额2至3年</t>
    <phoneticPr fontId="1" type="noConversion"/>
  </si>
  <si>
    <t>期末余额3至4年</t>
    <phoneticPr fontId="1" type="noConversion"/>
  </si>
  <si>
    <t>期末余额4至5年</t>
    <phoneticPr fontId="1" type="noConversion"/>
  </si>
  <si>
    <t>期末余额5年以上</t>
    <phoneticPr fontId="1" type="noConversion"/>
  </si>
  <si>
    <t>坏账准备1年以内</t>
    <phoneticPr fontId="1" type="noConversion"/>
  </si>
  <si>
    <t>坏账准备1至2年</t>
    <phoneticPr fontId="1" type="noConversion"/>
  </si>
  <si>
    <t>坏账准备2至3年</t>
    <phoneticPr fontId="1" type="noConversion"/>
  </si>
  <si>
    <t>坏账准备3至4年</t>
    <phoneticPr fontId="1" type="noConversion"/>
  </si>
  <si>
    <t>坏账准备4至5年</t>
    <phoneticPr fontId="1" type="noConversion"/>
  </si>
  <si>
    <t>坏账准备5年以上</t>
    <phoneticPr fontId="1" type="noConversion"/>
  </si>
  <si>
    <t>期末余额合计</t>
    <phoneticPr fontId="1" type="noConversion"/>
  </si>
  <si>
    <r>
      <rPr>
        <b/>
        <sz val="10"/>
        <rFont val="宋体"/>
        <family val="3"/>
        <charset val="134"/>
      </rPr>
      <t>期末余额</t>
    </r>
    <r>
      <rPr>
        <b/>
        <sz val="10"/>
        <rFont val="Times New Roman"/>
        <family val="1"/>
      </rPr>
      <t>1</t>
    </r>
    <r>
      <rPr>
        <b/>
        <sz val="10"/>
        <rFont val="宋体"/>
        <family val="3"/>
        <charset val="134"/>
      </rPr>
      <t>年以内</t>
    </r>
    <phoneticPr fontId="1" type="noConversion"/>
  </si>
  <si>
    <r>
      <t>期末余额1-2</t>
    </r>
    <r>
      <rPr>
        <b/>
        <sz val="10"/>
        <rFont val="宋体"/>
        <family val="3"/>
        <charset val="134"/>
      </rPr>
      <t>年</t>
    </r>
    <phoneticPr fontId="1" type="noConversion"/>
  </si>
  <si>
    <r>
      <t>期末余额2-3</t>
    </r>
    <r>
      <rPr>
        <b/>
        <sz val="10"/>
        <rFont val="宋体"/>
        <family val="3"/>
        <charset val="134"/>
      </rPr>
      <t>年</t>
    </r>
    <phoneticPr fontId="1" type="noConversion"/>
  </si>
  <si>
    <r>
      <t>期末余额3-4</t>
    </r>
    <r>
      <rPr>
        <b/>
        <sz val="10"/>
        <rFont val="宋体"/>
        <family val="3"/>
        <charset val="134"/>
      </rPr>
      <t>年</t>
    </r>
    <phoneticPr fontId="1" type="noConversion"/>
  </si>
  <si>
    <r>
      <t>期末余额4-5</t>
    </r>
    <r>
      <rPr>
        <b/>
        <sz val="10"/>
        <rFont val="宋体"/>
        <family val="3"/>
        <charset val="134"/>
      </rPr>
      <t>年</t>
    </r>
    <phoneticPr fontId="1" type="noConversion"/>
  </si>
  <si>
    <r>
      <t>期末余额5</t>
    </r>
    <r>
      <rPr>
        <b/>
        <sz val="10"/>
        <rFont val="宋体"/>
        <family val="3"/>
        <charset val="134"/>
      </rPr>
      <t>年以上</t>
    </r>
    <phoneticPr fontId="1" type="noConversion"/>
  </si>
  <si>
    <t>并购增加减值准备</t>
    <phoneticPr fontId="1" type="noConversion"/>
  </si>
  <si>
    <t>本期计提减值</t>
    <phoneticPr fontId="1" type="noConversion"/>
  </si>
  <si>
    <t>本期减值准备减少</t>
    <phoneticPr fontId="1" type="noConversion"/>
  </si>
  <si>
    <t>期初余额</t>
    <phoneticPr fontId="1" type="noConversion"/>
  </si>
  <si>
    <t>旧收入准则</t>
    <phoneticPr fontId="1" type="noConversion"/>
  </si>
  <si>
    <t xml:space="preserve">            其中：应收股利</t>
    <phoneticPr fontId="1" type="noConversion"/>
  </si>
  <si>
    <t xml:space="preserve">            其中：固定资产原价</t>
  </si>
  <si>
    <t xml:space="preserve">                  累计折旧</t>
  </si>
  <si>
    <t xml:space="preserve">                  固定资产减值准备</t>
  </si>
  <si>
    <t xml:space="preserve">            其中：应付股利</t>
    <phoneticPr fontId="1" type="noConversion"/>
  </si>
  <si>
    <t>年初至合并日收入</t>
    <phoneticPr fontId="1" type="noConversion"/>
  </si>
  <si>
    <t>合并日账面净资产</t>
    <phoneticPr fontId="1" type="noConversion"/>
  </si>
  <si>
    <t>年初至合并日净利润</t>
    <phoneticPr fontId="1" type="noConversion"/>
  </si>
  <si>
    <t>年初至合并日现金净增加额</t>
    <phoneticPr fontId="1" type="noConversion"/>
  </si>
  <si>
    <t>年初至合并日经营活动现金流量净额</t>
    <phoneticPr fontId="1" type="noConversion"/>
  </si>
  <si>
    <t>履行的核销程序</t>
    <phoneticPr fontId="1" type="noConversion"/>
  </si>
  <si>
    <t>核销原因</t>
    <phoneticPr fontId="1" type="noConversion"/>
  </si>
  <si>
    <t>款项是否由关联交易产生</t>
    <phoneticPr fontId="1" type="noConversion"/>
  </si>
  <si>
    <t>核销原因</t>
    <phoneticPr fontId="1" type="noConversion"/>
  </si>
  <si>
    <t>履行的核销程序</t>
    <phoneticPr fontId="1" type="noConversion"/>
  </si>
  <si>
    <t>———外购</t>
    <phoneticPr fontId="1" type="noConversion"/>
  </si>
  <si>
    <t>———在建工程转入</t>
    <phoneticPr fontId="1" type="noConversion"/>
  </si>
  <si>
    <t>———企业合并增加</t>
    <phoneticPr fontId="1" type="noConversion"/>
  </si>
  <si>
    <t>———其他</t>
    <phoneticPr fontId="1" type="noConversion"/>
  </si>
  <si>
    <t>———处置</t>
    <phoneticPr fontId="1" type="noConversion"/>
  </si>
  <si>
    <t>———计提或摊销</t>
    <phoneticPr fontId="1" type="noConversion"/>
  </si>
  <si>
    <t>———其他增加</t>
    <phoneticPr fontId="1" type="noConversion"/>
  </si>
  <si>
    <t>———其他转出</t>
    <phoneticPr fontId="1" type="noConversion"/>
  </si>
  <si>
    <t>———计提</t>
    <phoneticPr fontId="1" type="noConversion"/>
  </si>
  <si>
    <t>一、期初余额</t>
    <phoneticPr fontId="1" type="noConversion"/>
  </si>
  <si>
    <t>二、本期增加</t>
    <phoneticPr fontId="1" type="noConversion"/>
  </si>
  <si>
    <t>三、本期减少</t>
    <phoneticPr fontId="1" type="noConversion"/>
  </si>
  <si>
    <t>———购置</t>
    <phoneticPr fontId="1" type="noConversion"/>
  </si>
  <si>
    <r>
      <t>———</t>
    </r>
    <r>
      <rPr>
        <sz val="10.5"/>
        <color theme="1"/>
        <rFont val="宋体"/>
        <family val="2"/>
        <charset val="134"/>
      </rPr>
      <t>自用房地产或存货转入</t>
    </r>
    <phoneticPr fontId="1" type="noConversion"/>
  </si>
  <si>
    <t>———公允价值变动损益</t>
    <phoneticPr fontId="1" type="noConversion"/>
  </si>
  <si>
    <t>———处置</t>
    <phoneticPr fontId="1" type="noConversion"/>
  </si>
  <si>
    <t>———转为自用房地产</t>
    <phoneticPr fontId="1" type="noConversion"/>
  </si>
  <si>
    <t>四、期末余额</t>
    <phoneticPr fontId="1" type="noConversion"/>
  </si>
  <si>
    <t>———外购</t>
    <phoneticPr fontId="1" type="noConversion"/>
  </si>
  <si>
    <t>———企业合并增加</t>
    <phoneticPr fontId="1" type="noConversion"/>
  </si>
  <si>
    <t>———计提</t>
    <phoneticPr fontId="1" type="noConversion"/>
  </si>
  <si>
    <t>专用材料</t>
  </si>
  <si>
    <t>———自行培育</t>
    <phoneticPr fontId="1" type="noConversion"/>
  </si>
  <si>
    <t>———自行建造</t>
    <phoneticPr fontId="1" type="noConversion"/>
  </si>
  <si>
    <t>———探明矿区权益</t>
    <phoneticPr fontId="1" type="noConversion"/>
  </si>
  <si>
    <t>———未探明矿区权益</t>
    <phoneticPr fontId="1" type="noConversion"/>
  </si>
  <si>
    <t>———井及相关设施</t>
    <phoneticPr fontId="1" type="noConversion"/>
  </si>
  <si>
    <t>———其他</t>
    <phoneticPr fontId="1" type="noConversion"/>
  </si>
  <si>
    <t>———新增租赁合同</t>
    <phoneticPr fontId="1" type="noConversion"/>
  </si>
  <si>
    <t>———企业合并</t>
    <phoneticPr fontId="1" type="noConversion"/>
  </si>
  <si>
    <r>
      <t>———</t>
    </r>
    <r>
      <rPr>
        <sz val="10.5"/>
        <color theme="1"/>
        <rFont val="微软雅黑"/>
        <family val="2"/>
        <charset val="134"/>
      </rPr>
      <t>其他</t>
    </r>
    <phoneticPr fontId="1" type="noConversion"/>
  </si>
  <si>
    <t>———租赁合同到期</t>
    <phoneticPr fontId="1" type="noConversion"/>
  </si>
  <si>
    <r>
      <t>———</t>
    </r>
    <r>
      <rPr>
        <sz val="10.5"/>
        <color theme="1"/>
        <rFont val="宋体"/>
        <family val="2"/>
        <charset val="134"/>
      </rPr>
      <t>其他</t>
    </r>
    <phoneticPr fontId="1" type="noConversion"/>
  </si>
  <si>
    <r>
      <t>———</t>
    </r>
    <r>
      <rPr>
        <sz val="10.5"/>
        <color theme="1"/>
        <rFont val="微软雅黑"/>
        <family val="2"/>
        <charset val="134"/>
      </rPr>
      <t>内部研发</t>
    </r>
    <phoneticPr fontId="1" type="noConversion"/>
  </si>
  <si>
    <r>
      <t>———</t>
    </r>
    <r>
      <rPr>
        <sz val="10.5"/>
        <color theme="1"/>
        <rFont val="微软雅黑"/>
        <family val="2"/>
        <charset val="134"/>
      </rPr>
      <t>投资性房地产转为自用</t>
    </r>
    <phoneticPr fontId="1" type="noConversion"/>
  </si>
  <si>
    <t>出租方</t>
    <phoneticPr fontId="1" type="noConversion"/>
  </si>
  <si>
    <t>租赁物</t>
    <phoneticPr fontId="1" type="noConversion"/>
  </si>
  <si>
    <t>租赁开始日</t>
    <phoneticPr fontId="1" type="noConversion"/>
  </si>
  <si>
    <t>租赁结束日</t>
    <phoneticPr fontId="1" type="noConversion"/>
  </si>
  <si>
    <t>合同金额</t>
    <phoneticPr fontId="1" type="noConversion"/>
  </si>
  <si>
    <t>已付款金额</t>
    <phoneticPr fontId="1" type="noConversion"/>
  </si>
  <si>
    <t>租赁付款额</t>
    <phoneticPr fontId="1" type="noConversion"/>
  </si>
  <si>
    <t>租赁付款额</t>
    <phoneticPr fontId="1" type="noConversion"/>
  </si>
  <si>
    <t>折现率</t>
    <phoneticPr fontId="1" type="noConversion"/>
  </si>
  <si>
    <t>租赁付款额现值</t>
    <phoneticPr fontId="1" type="noConversion"/>
  </si>
  <si>
    <t>未确认的融资费用</t>
    <phoneticPr fontId="1" type="noConversion"/>
  </si>
  <si>
    <t>未确认的融资费用</t>
    <phoneticPr fontId="1" type="noConversion"/>
  </si>
  <si>
    <t>一年内到期的租赁付款额</t>
    <phoneticPr fontId="1" type="noConversion"/>
  </si>
  <si>
    <t>一年以上的租赁付款额</t>
    <phoneticPr fontId="1" type="noConversion"/>
  </si>
  <si>
    <t>一年内到期的未确认融资费用</t>
    <phoneticPr fontId="1" type="noConversion"/>
  </si>
  <si>
    <t>一年以上的未确认融资费用</t>
    <phoneticPr fontId="1" type="noConversion"/>
  </si>
  <si>
    <t>单位或项目</t>
    <phoneticPr fontId="1" type="noConversion"/>
  </si>
  <si>
    <t>初始金额</t>
  </si>
  <si>
    <t>利率</t>
  </si>
  <si>
    <t>开始日</t>
  </si>
  <si>
    <t>终止日</t>
  </si>
  <si>
    <t>期初余额（包含1年内到期金额）</t>
  </si>
  <si>
    <t>期初重分类至1年内到期金额</t>
  </si>
  <si>
    <t>本年增加</t>
  </si>
  <si>
    <t>本年减少</t>
  </si>
  <si>
    <t>期末重分类至1年内到期金额</t>
  </si>
  <si>
    <t>由独立第三方担保的金额</t>
  </si>
  <si>
    <t>未来1年以内（含1年）支付金额</t>
  </si>
  <si>
    <t>未来1-2年（含2年）支付金额</t>
  </si>
  <si>
    <t>未来2-3年（含3年）支付金额</t>
  </si>
  <si>
    <t>未来3-4年（含4年）支付金额</t>
  </si>
  <si>
    <t>未来4-5年（含5年）支付金额</t>
  </si>
  <si>
    <t>未来5年以上支付金额</t>
  </si>
  <si>
    <t>期末未确认融资费用</t>
    <phoneticPr fontId="1" type="noConversion"/>
  </si>
  <si>
    <t>形成原因</t>
    <phoneticPr fontId="1" type="noConversion"/>
  </si>
  <si>
    <t>担保单位</t>
  </si>
  <si>
    <t>被担保单位</t>
  </si>
  <si>
    <t>担保总额</t>
  </si>
  <si>
    <t>已计入预计负债金额</t>
  </si>
  <si>
    <t>逾期金额</t>
  </si>
  <si>
    <t>担保方式</t>
  </si>
  <si>
    <t>担保种类</t>
  </si>
  <si>
    <t>被担保单位现状</t>
  </si>
  <si>
    <t>单位全称</t>
  </si>
  <si>
    <t>涉及的金额</t>
  </si>
  <si>
    <t>预计产生的财务影响</t>
  </si>
  <si>
    <t>无法预计的理由</t>
  </si>
  <si>
    <t>获得补偿的可能性</t>
  </si>
  <si>
    <t>应付退货款</t>
  </si>
  <si>
    <t>预期补偿金额</t>
  </si>
  <si>
    <t>本期已确认的预期补偿金额</t>
  </si>
  <si>
    <t>形成原因以及经济利益流出不确定性的说明</t>
  </si>
  <si>
    <t>与或有事项核对</t>
    <phoneticPr fontId="1" type="noConversion"/>
  </si>
  <si>
    <t>与资产或收益相关</t>
    <phoneticPr fontId="1" type="noConversion"/>
  </si>
  <si>
    <t>补助文件</t>
    <phoneticPr fontId="1" type="noConversion"/>
  </si>
  <si>
    <t>补助总额</t>
    <phoneticPr fontId="1" type="noConversion"/>
  </si>
  <si>
    <t>摊销开始日</t>
    <phoneticPr fontId="1" type="noConversion"/>
  </si>
  <si>
    <t>摊销结束日</t>
    <phoneticPr fontId="1" type="noConversion"/>
  </si>
  <si>
    <t>结转收入减少</t>
  </si>
  <si>
    <t>收购增加</t>
    <phoneticPr fontId="1" type="noConversion"/>
  </si>
  <si>
    <t>期初重分类至1年内的金额</t>
  </si>
  <si>
    <t>check</t>
  </si>
  <si>
    <t>发行日</t>
  </si>
  <si>
    <t>归还日</t>
  </si>
  <si>
    <t>年利率</t>
  </si>
  <si>
    <t>批准单位</t>
  </si>
  <si>
    <t>批准文号</t>
  </si>
  <si>
    <t>每张面值</t>
  </si>
  <si>
    <t>发行量</t>
  </si>
  <si>
    <t>面值合计</t>
  </si>
  <si>
    <t>期初金额</t>
  </si>
  <si>
    <t>归还本金</t>
  </si>
  <si>
    <t>期末帐面余额</t>
  </si>
  <si>
    <t>期末发行费用</t>
  </si>
  <si>
    <t>本期偿还利息</t>
  </si>
  <si>
    <t>期末金额</t>
  </si>
  <si>
    <t>本期应计利息</t>
  </si>
  <si>
    <t>本期已付利息</t>
  </si>
  <si>
    <t>期末重分类至1年内金额</t>
  </si>
  <si>
    <t>1-2年到期</t>
  </si>
  <si>
    <t>期初本金中利息</t>
    <phoneticPr fontId="1" type="noConversion"/>
  </si>
  <si>
    <t>本期计提本金中利息</t>
    <phoneticPr fontId="1" type="noConversion"/>
  </si>
  <si>
    <t>本期偿还本金中利息</t>
    <phoneticPr fontId="1" type="noConversion"/>
  </si>
  <si>
    <t>期末本金中利息</t>
    <phoneticPr fontId="1" type="noConversion"/>
  </si>
  <si>
    <t>期初应付利息</t>
    <phoneticPr fontId="1" type="noConversion"/>
  </si>
  <si>
    <t>本期计提利息</t>
    <phoneticPr fontId="1" type="noConversion"/>
  </si>
  <si>
    <t>期末应付利息</t>
    <phoneticPr fontId="1" type="noConversion"/>
  </si>
  <si>
    <t>发行费用</t>
    <phoneticPr fontId="1" type="noConversion"/>
  </si>
  <si>
    <t>溢折价</t>
    <phoneticPr fontId="1" type="noConversion"/>
  </si>
  <si>
    <t>发行金额</t>
    <phoneticPr fontId="1" type="noConversion"/>
  </si>
  <si>
    <t>期初发行费用及溢折价</t>
    <phoneticPr fontId="1" type="noConversion"/>
  </si>
  <si>
    <t>安全生产费</t>
    <phoneticPr fontId="1" type="noConversion"/>
  </si>
  <si>
    <t>其他费用</t>
  </si>
  <si>
    <t>物料消耗</t>
  </si>
  <si>
    <t>单位简称</t>
    <phoneticPr fontId="1" type="noConversion"/>
  </si>
  <si>
    <t>内部交易未实现利润</t>
  </si>
  <si>
    <t>公允价值变动损益(减值）</t>
  </si>
  <si>
    <t>折旧或摊销年限低于税法年限</t>
  </si>
  <si>
    <t>应收质保金折现</t>
  </si>
  <si>
    <t>公允价值计量变动计入损益的资产负债（公允价值增值）</t>
  </si>
  <si>
    <t>会计折旧或摊销年限长于税收折旧年限</t>
  </si>
  <si>
    <t>固定资产评估增值</t>
  </si>
  <si>
    <t>无形资产评估增值</t>
  </si>
  <si>
    <t>投资性房地产评估增值</t>
  </si>
  <si>
    <t>合并抵消内部未实现损失</t>
  </si>
  <si>
    <t>校验期初</t>
    <phoneticPr fontId="1" type="noConversion"/>
  </si>
  <si>
    <t>校验期末</t>
    <phoneticPr fontId="1" type="noConversion"/>
  </si>
  <si>
    <t>项目</t>
    <phoneticPr fontId="1" type="noConversion"/>
  </si>
  <si>
    <t>Column1</t>
  </si>
  <si>
    <t>Column2</t>
  </si>
  <si>
    <t>Column3</t>
  </si>
  <si>
    <t>Column4</t>
  </si>
  <si>
    <t>Column5</t>
  </si>
  <si>
    <t>报告类型</t>
  </si>
  <si>
    <t>公司类型</t>
  </si>
  <si>
    <t>上市公司</t>
  </si>
  <si>
    <t>有无</t>
  </si>
  <si>
    <t>有</t>
  </si>
  <si>
    <t>金融工具准则</t>
  </si>
  <si>
    <t>新金融工具准则</t>
  </si>
  <si>
    <t>收入准则</t>
  </si>
  <si>
    <t>新收入准则</t>
  </si>
  <si>
    <t>部分新收入工具准则</t>
  </si>
  <si>
    <t>租赁准则</t>
  </si>
  <si>
    <t>新租赁准则</t>
  </si>
  <si>
    <t>部分新租赁工具准则</t>
  </si>
  <si>
    <t>存货发出计价方法</t>
  </si>
  <si>
    <t>先进先出法</t>
  </si>
  <si>
    <t>个别认定法</t>
  </si>
  <si>
    <t>盘点方法</t>
  </si>
  <si>
    <t>定期盘存制</t>
  </si>
  <si>
    <t>低值易耗品摊销</t>
  </si>
  <si>
    <t>五五摊销法</t>
  </si>
  <si>
    <t>分次摊销法</t>
  </si>
  <si>
    <t>投资性房地产核算模式</t>
  </si>
  <si>
    <t>公允价值模式</t>
  </si>
  <si>
    <t>逻辑</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</si>
  <si>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</si>
  <si>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</si>
  <si>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</si>
  <si>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</si>
  <si>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</si>
  <si>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</si>
  <si>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</si>
  <si>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</si>
  <si>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</si>
  <si>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</si>
  <si>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</si>
  <si>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</si>
  <si>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</si>
  <si>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</si>
  <si>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</si>
  <si>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</si>
  <si>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</si>
  <si>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</si>
  <si>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</si>
  <si>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</si>
  <si>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</si>
  <si>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</si>
  <si>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</si>
  <si>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</si>
  <si>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</si>
  <si>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</si>
  <si>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</si>
  <si>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</si>
  <si>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</si>
  <si>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</si>
  <si>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</si>
  <si>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</si>
  <si>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</si>
  <si>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</si>
  <si>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</si>
  <si>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</si>
  <si>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</si>
  <si>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</si>
  <si>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</si>
  <si>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</si>
  <si>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</si>
  <si>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</si>
  <si>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</si>
  <si>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</si>
  <si>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</si>
  <si>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</si>
  <si>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</si>
  <si>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</si>
  <si>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</si>
  <si>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</si>
  <si>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</si>
  <si>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</si>
  <si>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</si>
  <si>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</si>
  <si>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</si>
  <si>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</si>
  <si>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</si>
  <si>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</si>
  <si>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</si>
  <si>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</si>
  <si>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</si>
  <si>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</si>
  <si>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</si>
  <si>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</si>
  <si>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</si>
  <si>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</si>
  <si>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</si>
  <si>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</si>
  <si>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</si>
  <si>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</si>
  <si>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</si>
  <si>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</si>
  <si>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</si>
  <si>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</si>
  <si>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</si>
  <si>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</si>
  <si>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</si>
  <si>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</si>
  <si>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</si>
  <si>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</si>
  <si>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</si>
  <si>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</si>
  <si>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</si>
  <si>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</si>
  <si>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</si>
  <si>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</si>
  <si>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</si>
  <si>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</si>
  <si>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</si>
  <si>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</si>
  <si>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</si>
  <si>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</si>
  <si>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</si>
  <si>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</si>
  <si>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</si>
  <si>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</si>
  <si>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</si>
  <si>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</si>
  <si>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</si>
  <si>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</si>
  <si>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</si>
  <si>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</si>
  <si>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</si>
  <si>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</si>
  <si>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</si>
  <si>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</si>
  <si>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</si>
  <si>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</si>
  <si>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</si>
  <si>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</si>
  <si>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</si>
  <si>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</si>
  <si>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</si>
  <si>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</si>
  <si>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</si>
  <si>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</si>
  <si>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</si>
  <si>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</si>
  <si>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</si>
  <si>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</si>
  <si>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</si>
  <si>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</si>
  <si>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</si>
  <si>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</si>
  <si>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</si>
  <si>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</si>
  <si>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</si>
  <si>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</si>
  <si>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</si>
  <si>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</si>
  <si>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</si>
  <si>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</si>
  <si>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</si>
  <si>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</si>
  <si>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</si>
  <si>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</si>
  <si>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</si>
  <si>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</si>
  <si>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</si>
  <si>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</si>
  <si>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</si>
  <si>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</si>
  <si>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</si>
  <si>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</si>
  <si>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</si>
  <si>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</si>
  <si>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</si>
  <si>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</si>
  <si>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</si>
  <si>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</si>
  <si>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</si>
  <si>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</si>
  <si>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</si>
  <si>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</si>
  <si>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</si>
  <si>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</si>
  <si>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</si>
  <si>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</si>
  <si>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</si>
  <si>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币种</t>
  </si>
  <si>
    <t>澳门元</t>
  </si>
  <si>
    <t>受限货币资金类型</t>
  </si>
  <si>
    <t>金融资产类型</t>
  </si>
  <si>
    <t>基金产品投资</t>
  </si>
  <si>
    <t>以公允价值计量且其变动计入当期损益的金融资产类型</t>
  </si>
  <si>
    <t>指定以公允价值计量且其变动计入当期损益的金融资产</t>
  </si>
  <si>
    <t>应收票据类型</t>
  </si>
  <si>
    <t>坏账准备计提方式</t>
  </si>
  <si>
    <t>关联方类型</t>
  </si>
  <si>
    <t>非关联方</t>
  </si>
  <si>
    <t>集团合并范围内关联方</t>
  </si>
  <si>
    <t>集团合并范围外关联方</t>
  </si>
  <si>
    <t>融资租赁</t>
  </si>
  <si>
    <t>应收账款款项性质</t>
  </si>
  <si>
    <t>货款</t>
  </si>
  <si>
    <t>工程款</t>
  </si>
  <si>
    <t>其他应收款款项性质</t>
  </si>
  <si>
    <t>项目管理费</t>
  </si>
  <si>
    <t>存货类别</t>
  </si>
  <si>
    <t>应收账款组合类别</t>
  </si>
  <si>
    <t>账龄组合</t>
  </si>
  <si>
    <t>预付账款性质</t>
  </si>
  <si>
    <t>应收利息款项性质</t>
  </si>
  <si>
    <t>一年内到期的非流动资产分类</t>
  </si>
  <si>
    <t>其他流动资产分类</t>
  </si>
  <si>
    <t>理财产品</t>
  </si>
  <si>
    <t>信托基金产品</t>
  </si>
  <si>
    <t>预缴税费</t>
  </si>
  <si>
    <t>可供出售金融资产分类</t>
  </si>
  <si>
    <t>可供出售权益工具-按公允价值计量</t>
  </si>
  <si>
    <t>可供出售权益工具-按成本计量</t>
  </si>
  <si>
    <t>长期应收款类别</t>
  </si>
  <si>
    <t>长期股权投资类别</t>
  </si>
  <si>
    <t>投资性房地产类型</t>
  </si>
  <si>
    <t>投资性房地产核算方法</t>
  </si>
  <si>
    <t>成本法</t>
  </si>
  <si>
    <t>投资性房地产价值类型</t>
  </si>
  <si>
    <t>固定资产类型</t>
  </si>
  <si>
    <t>地下停车库</t>
  </si>
  <si>
    <t>广告设施</t>
  </si>
  <si>
    <t>无形资产类型</t>
  </si>
  <si>
    <t>生产性生物资产类别</t>
  </si>
  <si>
    <t>小麦</t>
  </si>
  <si>
    <t>玉米</t>
  </si>
  <si>
    <t>牛</t>
  </si>
  <si>
    <t>猪</t>
  </si>
  <si>
    <t>油气资产类别</t>
  </si>
  <si>
    <t>使用权资产类别</t>
  </si>
  <si>
    <t>递延所得税资产类型</t>
  </si>
  <si>
    <t>房地产企业预计利润</t>
  </si>
  <si>
    <t>其他非流动资产类别</t>
  </si>
  <si>
    <t>基金投资</t>
  </si>
  <si>
    <t>信托产品</t>
  </si>
  <si>
    <t>借款类型</t>
  </si>
  <si>
    <t>保证+抵押/质押</t>
  </si>
  <si>
    <t>固定利率</t>
  </si>
  <si>
    <t>浮动利率</t>
  </si>
  <si>
    <t>免息</t>
  </si>
  <si>
    <t>票据类型</t>
  </si>
  <si>
    <t>其他应付款款项性质</t>
  </si>
  <si>
    <t>职工薪酬类型</t>
  </si>
  <si>
    <t>社会保险类型</t>
  </si>
  <si>
    <t>税种</t>
  </si>
  <si>
    <t>关税</t>
  </si>
  <si>
    <t>水资源税</t>
  </si>
  <si>
    <t>环保税</t>
  </si>
  <si>
    <t>价格调节基金</t>
  </si>
  <si>
    <t>堤围防护费</t>
  </si>
  <si>
    <t>副食品调控基金</t>
  </si>
  <si>
    <t>应交职业教育统筹经费</t>
  </si>
  <si>
    <t>综合规费</t>
  </si>
  <si>
    <t>扶散费</t>
  </si>
  <si>
    <t>散装基金</t>
  </si>
  <si>
    <t>应付利息种类</t>
  </si>
  <si>
    <t>政府置换债券利息</t>
  </si>
  <si>
    <t>一年内到期的非流动负债类别</t>
  </si>
  <si>
    <t>其他流动负债类别</t>
  </si>
  <si>
    <t>长期应付款类别</t>
  </si>
  <si>
    <t>递延收益类型</t>
  </si>
  <si>
    <t>其他非流动负债类别</t>
  </si>
  <si>
    <t>拨入专项资金</t>
  </si>
  <si>
    <t>收入类别</t>
  </si>
  <si>
    <t>住宅销售</t>
  </si>
  <si>
    <t>BT建造</t>
  </si>
  <si>
    <t>地下管道设施使用权转让</t>
  </si>
  <si>
    <t>建造合同</t>
  </si>
  <si>
    <t>商业用房销售</t>
  </si>
  <si>
    <t>商品销售</t>
  </si>
  <si>
    <t>咨询业务</t>
  </si>
  <si>
    <t>收入成本项目</t>
  </si>
  <si>
    <t>建造合同类别</t>
  </si>
  <si>
    <t>固定造价建造合同</t>
  </si>
  <si>
    <t>成本加成合同</t>
  </si>
  <si>
    <t>税金及附加类别</t>
  </si>
  <si>
    <t>销售费用类别</t>
  </si>
  <si>
    <t>管理费用类别</t>
  </si>
  <si>
    <t>研发费用类别</t>
  </si>
  <si>
    <t>财务费用类别</t>
  </si>
  <si>
    <t>利息支出</t>
  </si>
  <si>
    <t>金融机构手续费</t>
  </si>
  <si>
    <t>资产减值损失类别</t>
  </si>
  <si>
    <t>其他收益类别</t>
  </si>
  <si>
    <t>个税返还</t>
  </si>
  <si>
    <t>债权投资在持有期间的投资收益</t>
  </si>
  <si>
    <t>处置债权投资取得的投资收益</t>
  </si>
  <si>
    <t>其他债权投资在持有期间的投资收益</t>
  </si>
  <si>
    <t>处置其他债权投资取得的投资收益</t>
  </si>
  <si>
    <t>其他权益工具投资在持有期间的投资收益</t>
  </si>
  <si>
    <t>子公司分红款</t>
  </si>
  <si>
    <t>资产处置收益类别</t>
  </si>
  <si>
    <t>营业外收入类别</t>
  </si>
  <si>
    <t>政府补助类型</t>
  </si>
  <si>
    <t>与资产相关</t>
  </si>
  <si>
    <t>与收益相关</t>
  </si>
  <si>
    <t>营业外支出类型</t>
  </si>
  <si>
    <t>所得税费用类别</t>
  </si>
  <si>
    <t>所得税-不可抵扣的成本费用和损失类别</t>
  </si>
  <si>
    <t>职工薪酬（不含已计提未发放部分）</t>
  </si>
  <si>
    <t>业务招待费超限金额</t>
  </si>
  <si>
    <t>广告费和业务宣传费超限金额</t>
  </si>
  <si>
    <t>公益捐赠支出超限金额</t>
  </si>
  <si>
    <t>罚款支出</t>
  </si>
  <si>
    <t>与收入无关的支出（如担保损失.为职工购买生活用品等）</t>
  </si>
  <si>
    <t>财产损失（如盘亏损失.非正常毁损等）</t>
  </si>
  <si>
    <t>不可抵扣的赞助支出.非公益捐赠支出</t>
  </si>
  <si>
    <t>利息支出（向个人或企业借款超过基准利率等）</t>
  </si>
  <si>
    <t>所得税-纳税调增</t>
  </si>
  <si>
    <t>不可抵扣的成本费用和损失</t>
  </si>
  <si>
    <t>所得税-纳税调减</t>
  </si>
  <si>
    <t>不征税收入明细</t>
  </si>
  <si>
    <t>财政拨款</t>
  </si>
  <si>
    <t>行政事业性收费</t>
  </si>
  <si>
    <t>政府性基金</t>
  </si>
  <si>
    <t>资产减值准备类别</t>
  </si>
  <si>
    <t>应收票据坏账准备</t>
  </si>
  <si>
    <t>应收利息坏账准备</t>
  </si>
  <si>
    <t>应收股利坏账准备</t>
  </si>
  <si>
    <t>可供出售金融资产减值准备</t>
  </si>
  <si>
    <t>关联关系</t>
  </si>
  <si>
    <t>子公司</t>
  </si>
  <si>
    <t>母公司</t>
  </si>
  <si>
    <t>合营企业</t>
  </si>
  <si>
    <t>联营企业</t>
  </si>
  <si>
    <t>受同一母公司控制的其他企业</t>
  </si>
  <si>
    <t>公司股东</t>
  </si>
  <si>
    <t>实际控制人</t>
  </si>
  <si>
    <t>无关联关系</t>
  </si>
  <si>
    <t>关联交易类型</t>
  </si>
  <si>
    <t>销售商品</t>
  </si>
  <si>
    <t>销售商品以外的其他资产</t>
  </si>
  <si>
    <t>采购商品</t>
  </si>
  <si>
    <t>采购商品以外的其他资产</t>
  </si>
  <si>
    <t>提供劳务</t>
  </si>
  <si>
    <t>接收劳务</t>
  </si>
  <si>
    <t>资金拆借</t>
  </si>
  <si>
    <t>资金拆出</t>
  </si>
  <si>
    <t>保理本金</t>
  </si>
  <si>
    <t>保理收益</t>
  </si>
  <si>
    <t>往来科目</t>
  </si>
  <si>
    <t>未办妥权证资产科目</t>
  </si>
  <si>
    <t>所有权受限资产科目</t>
  </si>
  <si>
    <t>票据背书或贴现</t>
  </si>
  <si>
    <t>背书</t>
  </si>
  <si>
    <t>贴现</t>
  </si>
  <si>
    <t>可供出售权益工具核算方法</t>
  </si>
  <si>
    <t>公允价值法</t>
  </si>
  <si>
    <t>数据类型</t>
  </si>
  <si>
    <t>投资性房地产变动原因</t>
  </si>
  <si>
    <t>计提或摊销</t>
  </si>
  <si>
    <t>存货转入</t>
  </si>
  <si>
    <t>其他转出</t>
  </si>
  <si>
    <t>固定资产变动原因</t>
  </si>
  <si>
    <t>无形资产变动原因</t>
  </si>
  <si>
    <t>生产性生物资产变动原因</t>
  </si>
  <si>
    <t>油气资产变动原因</t>
  </si>
  <si>
    <t>自行建造</t>
  </si>
  <si>
    <t>使用权资产变动原因</t>
  </si>
  <si>
    <t>收到其他经营活动现金流分类</t>
  </si>
  <si>
    <t>支付其他经营活动现金流分类</t>
  </si>
  <si>
    <t>收到其他投资活动现金流分类</t>
  </si>
  <si>
    <t>支付其他投资活动现金流分类</t>
  </si>
  <si>
    <t>收到其他筹资活动现金流分类</t>
  </si>
  <si>
    <t>支付其他筹资活动现金流分类</t>
  </si>
  <si>
    <t>交易性金融资产分类</t>
  </si>
  <si>
    <t>衍生金融工具类别</t>
  </si>
  <si>
    <t>应收款项融资组合</t>
  </si>
  <si>
    <t>应收款项融资项目名称</t>
  </si>
  <si>
    <t>合同资产组合分类</t>
  </si>
  <si>
    <t>持有待售资产分类</t>
  </si>
  <si>
    <t>债权投资分类</t>
  </si>
  <si>
    <t>金融资产减值阶段划分</t>
  </si>
  <si>
    <t>应收款打包转让</t>
  </si>
  <si>
    <t>其他权益工具投资分类</t>
  </si>
  <si>
    <t>在建工程增减变动</t>
  </si>
  <si>
    <t>工程物资分类</t>
  </si>
  <si>
    <t>预收款项性质</t>
  </si>
  <si>
    <t>职工薪酬分类</t>
  </si>
  <si>
    <t>应付股利类别</t>
  </si>
  <si>
    <t>收入成本时间类型</t>
  </si>
  <si>
    <t>一般责任保证</t>
  </si>
  <si>
    <t>连带责任保证</t>
  </si>
  <si>
    <t>贷款担保</t>
  </si>
  <si>
    <t>履约担保</t>
  </si>
  <si>
    <t>贸易融资担保</t>
  </si>
  <si>
    <t>其他担保</t>
  </si>
  <si>
    <t>正常经营</t>
  </si>
  <si>
    <t>经营困难</t>
  </si>
  <si>
    <t>资不抵债</t>
  </si>
  <si>
    <t>破产清算</t>
  </si>
  <si>
    <t>托管</t>
  </si>
  <si>
    <t>其他或有事项类别</t>
  </si>
  <si>
    <t>已贴现商业承兑汇票</t>
  </si>
  <si>
    <t>未决仲裁</t>
  </si>
  <si>
    <t>预计负债类别</t>
  </si>
  <si>
    <t>可抵扣暂时性差异类别</t>
  </si>
  <si>
    <t>应纳税暂时性差异类别</t>
  </si>
  <si>
    <t>贷方</t>
  </si>
  <si>
    <t>6001</t>
  </si>
  <si>
    <t>6051</t>
  </si>
  <si>
    <t>减：其他业务收入-租金收入</t>
  </si>
  <si>
    <t>605102</t>
  </si>
  <si>
    <t>605112</t>
  </si>
  <si>
    <t>应收租赁款期末数</t>
  </si>
  <si>
    <t>期末</t>
  </si>
  <si>
    <t>减：应收租赁款期初数</t>
  </si>
  <si>
    <t>期初</t>
  </si>
  <si>
    <t>预收租赁款期初数</t>
  </si>
  <si>
    <t>220399</t>
  </si>
  <si>
    <t>减：预收租赁款期末数</t>
  </si>
  <si>
    <t>销项税</t>
  </si>
  <si>
    <t>减：处置固定资产销项税</t>
  </si>
  <si>
    <t>应收票据期初数</t>
  </si>
  <si>
    <t>减：应收票据期末数</t>
  </si>
  <si>
    <t>应收账款期初数</t>
  </si>
  <si>
    <t>1122</t>
  </si>
  <si>
    <t>减：应收账款期末数</t>
  </si>
  <si>
    <t>预收账款期末数</t>
  </si>
  <si>
    <t>2203</t>
  </si>
  <si>
    <t>减：预收账款期初数</t>
  </si>
  <si>
    <t>减：票据贴现的利息</t>
  </si>
  <si>
    <t>借方</t>
  </si>
  <si>
    <t>减：应收票据的减少中背书转让的金额</t>
  </si>
  <si>
    <t>减：应收账款减少中的与应付款对冲金额</t>
  </si>
  <si>
    <t>工程结算贷方发生额</t>
  </si>
  <si>
    <t>减：工程结算借方发生额</t>
  </si>
  <si>
    <t>减：执行建造合同扣除营业收入</t>
  </si>
  <si>
    <t>加：工程结算与工程施工对冲金额</t>
  </si>
  <si>
    <t>简易计税-减免</t>
  </si>
  <si>
    <t>销售商品收到的现金流</t>
  </si>
  <si>
    <t>返还的增值税</t>
  </si>
  <si>
    <t>返还的营业税</t>
  </si>
  <si>
    <t>返还的所得税</t>
  </si>
  <si>
    <t>返还的关税</t>
  </si>
  <si>
    <t>返还的教育费附加</t>
  </si>
  <si>
    <t>返还的出口退税</t>
  </si>
  <si>
    <t>收到的税费返还</t>
  </si>
  <si>
    <t>政府补助收入</t>
  </si>
  <si>
    <t>抵扣销售收入的应交款</t>
  </si>
  <si>
    <t>6721</t>
  </si>
  <si>
    <t>630104</t>
  </si>
  <si>
    <t>630102</t>
  </si>
  <si>
    <t>减：税收减免</t>
  </si>
  <si>
    <t>63010204</t>
  </si>
  <si>
    <t>其他应收款-政府补贴款期初数</t>
  </si>
  <si>
    <t>122105</t>
  </si>
  <si>
    <t>减：其他应收款-政府补贴款期末数</t>
  </si>
  <si>
    <t>其他应付款/应交财政差价款</t>
  </si>
  <si>
    <t>224125</t>
  </si>
  <si>
    <t>减：其他应付款/应交财政差价款</t>
  </si>
  <si>
    <t>减：其他应收款-政府补贴款贷方转入营业外支出</t>
  </si>
  <si>
    <t>加：支付财政补贴利息</t>
  </si>
  <si>
    <t>加：上交财政补贴</t>
  </si>
  <si>
    <t>加：收购补贴</t>
  </si>
  <si>
    <t>加：支付的修理费</t>
  </si>
  <si>
    <t>加：库存商品减少</t>
  </si>
  <si>
    <t>其他业务收入-租金收入</t>
  </si>
  <si>
    <t>租金增值税</t>
  </si>
  <si>
    <t>应收租赁款期初数</t>
  </si>
  <si>
    <t>减：应收租赁款期末数</t>
  </si>
  <si>
    <t>预收租赁款期末数</t>
  </si>
  <si>
    <t>减：预收租赁款期初数</t>
  </si>
  <si>
    <t>630103</t>
  </si>
  <si>
    <t>罚款收入</t>
  </si>
  <si>
    <t>财务费用-利息收入</t>
  </si>
  <si>
    <t>66030101</t>
  </si>
  <si>
    <t>营业外收入-其他</t>
  </si>
  <si>
    <t>备用金</t>
  </si>
  <si>
    <t>资金往来</t>
  </si>
  <si>
    <t>废品收入</t>
  </si>
  <si>
    <t>资金往来-收回文创园借款</t>
  </si>
  <si>
    <t>收到其他与经营活动有关的现金</t>
  </si>
  <si>
    <t>补贴收入</t>
  </si>
  <si>
    <t>资金往来及其他</t>
  </si>
  <si>
    <t>6401</t>
  </si>
  <si>
    <t>6402</t>
  </si>
  <si>
    <t>应交增值税(进项税额)</t>
  </si>
  <si>
    <t>存货期末减期初</t>
  </si>
  <si>
    <t>1405</t>
  </si>
  <si>
    <t>开发产品期末数</t>
  </si>
  <si>
    <t>1409\开发产品</t>
  </si>
  <si>
    <t>减：开发产品期初数</t>
  </si>
  <si>
    <t>开发成本期末数</t>
  </si>
  <si>
    <t>减：开发成本期初数</t>
  </si>
  <si>
    <t>原材料期末数</t>
  </si>
  <si>
    <t>减：原材料期初数</t>
  </si>
  <si>
    <t>工程施工期末数</t>
  </si>
  <si>
    <t>减：工程施工期初数</t>
  </si>
  <si>
    <t>预付账款期末数</t>
  </si>
  <si>
    <t>减：预付账款期初数</t>
  </si>
  <si>
    <t>应付账款期初数</t>
  </si>
  <si>
    <t>2202</t>
  </si>
  <si>
    <t>减：应付账款期末数</t>
  </si>
  <si>
    <t>应付票据期初数</t>
  </si>
  <si>
    <t>减：应付票据期末数</t>
  </si>
  <si>
    <t>减：成本中的职工薪酬</t>
  </si>
  <si>
    <t>减：成本中的折旧和摊销</t>
  </si>
  <si>
    <t>减：应收票据背书采购</t>
  </si>
  <si>
    <t>减：应收账款与应付账款对冲金额</t>
  </si>
  <si>
    <t>预付长期资产款期初数</t>
  </si>
  <si>
    <t>减：预付长期资产款期末数</t>
  </si>
  <si>
    <t>应付长期资产款期末数</t>
  </si>
  <si>
    <t>减：应付长期资产款期初数</t>
  </si>
  <si>
    <t>开发产品转入投资性房地产</t>
  </si>
  <si>
    <t>商品损耗</t>
  </si>
  <si>
    <t>660147</t>
  </si>
  <si>
    <t>其他应收款-库存商品减少</t>
  </si>
  <si>
    <t>其他应收款-支付收购补贴</t>
  </si>
  <si>
    <t>购买商品、接受劳务支付的现金</t>
  </si>
  <si>
    <t>开发间接费-职工薪酬</t>
  </si>
  <si>
    <t>销售费用-职工薪酬</t>
  </si>
  <si>
    <t>管理费用-职工薪酬</t>
  </si>
  <si>
    <t>660205</t>
  </si>
  <si>
    <t>660206</t>
  </si>
  <si>
    <t>660207</t>
  </si>
  <si>
    <t>660209</t>
  </si>
  <si>
    <t>660210</t>
  </si>
  <si>
    <t>660208</t>
  </si>
  <si>
    <t>应付职工薪酬期初数</t>
  </si>
  <si>
    <t>2211</t>
  </si>
  <si>
    <t>减：应付职工薪酬期末数</t>
  </si>
  <si>
    <t>应交个人所得税期初数</t>
  </si>
  <si>
    <t>222106</t>
  </si>
  <si>
    <t>减：应交个人所得税期末数</t>
  </si>
  <si>
    <t>支付给职工以及为职工支付的现金</t>
  </si>
  <si>
    <t>应交城市维护建设税</t>
  </si>
  <si>
    <t>222103</t>
  </si>
  <si>
    <t/>
  </si>
  <si>
    <t>222108</t>
  </si>
  <si>
    <t>222107</t>
  </si>
  <si>
    <t>222111</t>
  </si>
  <si>
    <t>应交教育费附加</t>
  </si>
  <si>
    <t>222114</t>
  </si>
  <si>
    <t>应交地方教育附加</t>
  </si>
  <si>
    <t>222115</t>
  </si>
  <si>
    <t>222118</t>
  </si>
  <si>
    <t>222125</t>
  </si>
  <si>
    <t>222105</t>
  </si>
  <si>
    <t>支付的各项税费</t>
  </si>
  <si>
    <t>660115</t>
  </si>
  <si>
    <t>660124</t>
  </si>
  <si>
    <t>660148</t>
  </si>
  <si>
    <t>660199</t>
  </si>
  <si>
    <t>660212</t>
  </si>
  <si>
    <t>660215</t>
  </si>
  <si>
    <t>660219</t>
  </si>
  <si>
    <t>660221</t>
  </si>
  <si>
    <t>660225</t>
  </si>
  <si>
    <t>660229</t>
  </si>
  <si>
    <t>660231</t>
  </si>
  <si>
    <t>660238</t>
  </si>
  <si>
    <t>660299</t>
  </si>
  <si>
    <t>660213</t>
  </si>
  <si>
    <t>660217</t>
  </si>
  <si>
    <t>660226</t>
  </si>
  <si>
    <t>660233</t>
  </si>
  <si>
    <t>660234</t>
  </si>
  <si>
    <t>660251</t>
  </si>
  <si>
    <t>财务费用-手续费</t>
  </si>
  <si>
    <t>660304</t>
  </si>
  <si>
    <t>捐赠支出</t>
  </si>
  <si>
    <t>罚款及滞纳金</t>
  </si>
  <si>
    <t>违约金支出</t>
  </si>
  <si>
    <t>671107\营业外支出\违约金支出</t>
  </si>
  <si>
    <t>赔偿支出</t>
  </si>
  <si>
    <t>1403</t>
  </si>
  <si>
    <t>224113</t>
  </si>
  <si>
    <t>支付的修理费</t>
  </si>
  <si>
    <t>上交财政补贴</t>
  </si>
  <si>
    <t>2701</t>
  </si>
  <si>
    <t>减：长期应付款</t>
  </si>
  <si>
    <t>支付其他与经营活动有关的现金</t>
  </si>
  <si>
    <t>收回交易性金融资产的现金额</t>
  </si>
  <si>
    <t>收回可供出售金融资产的现金额</t>
  </si>
  <si>
    <t>收回长期股权投资收回的现金额</t>
  </si>
  <si>
    <t>收回持有至到期投资本金收回的现金额</t>
  </si>
  <si>
    <t>出售投资性房地产而收到的现金</t>
  </si>
  <si>
    <t>收回投资收到的现金</t>
  </si>
  <si>
    <t>股权投资分得的现金股利</t>
  </si>
  <si>
    <t>子公司、联营企业、合营企业分回的利润</t>
  </si>
  <si>
    <t>持有至到期投资的现金利息收入</t>
  </si>
  <si>
    <t>取得投资收益收到的现金</t>
  </si>
  <si>
    <t>营业外收入-非流动资产处置</t>
  </si>
  <si>
    <t>630101</t>
  </si>
  <si>
    <t>减:营业外支出-非流动资产处置</t>
  </si>
  <si>
    <t>671101</t>
  </si>
  <si>
    <t>1601</t>
  </si>
  <si>
    <t>减：累计折旧借方</t>
  </si>
  <si>
    <t>1602</t>
  </si>
  <si>
    <t>减：固定资产减值准备借方</t>
  </si>
  <si>
    <t>减：累计摊销借方</t>
  </si>
  <si>
    <t>减：固定资产转入投资性房地产</t>
  </si>
  <si>
    <t>减：无形资产转入投资性房地产</t>
  </si>
  <si>
    <t>处置固定资产、无形资产和其他长期资产所收回的现金净额</t>
  </si>
  <si>
    <t>处置子公司及其他营业单位收到的现金</t>
  </si>
  <si>
    <t>相关的处置费用</t>
  </si>
  <si>
    <t>子公司及其他营业单位所持有的现金及现金等价物</t>
  </si>
  <si>
    <t>处置子公司及其他营业单位收回的现金净额</t>
  </si>
  <si>
    <t>收到购买股票或债券所支付的款项中所包含的已到期尚未收到的股利或已到期尚未领取的利息</t>
  </si>
  <si>
    <t>取得子公司及其他营业单位支付的现金净额为负数时</t>
  </si>
  <si>
    <t>定期存款利息</t>
  </si>
  <si>
    <t>收到的其他与投资活动有关的现金</t>
  </si>
  <si>
    <t>固定资产借方</t>
  </si>
  <si>
    <t>在建工程借方</t>
  </si>
  <si>
    <t>1604</t>
  </si>
  <si>
    <t>工程物资借方</t>
  </si>
  <si>
    <t>无形资产借方</t>
  </si>
  <si>
    <t>1701</t>
  </si>
  <si>
    <t>生产性生物资产借方</t>
  </si>
  <si>
    <t>油气资产借方</t>
  </si>
  <si>
    <t>开发支出借方</t>
  </si>
  <si>
    <t>长期待摊费用借方</t>
  </si>
  <si>
    <t>减：利息资本化支出</t>
  </si>
  <si>
    <t>预付长期资产款期末数</t>
  </si>
  <si>
    <t>减：预付长期资产款期初数</t>
  </si>
  <si>
    <t>应付长期资产款期初数</t>
  </si>
  <si>
    <t>减：应付长期资产款期末数</t>
  </si>
  <si>
    <t>投资性房地产转入固定资产</t>
  </si>
  <si>
    <t>投资性房地产转入无形资产</t>
  </si>
  <si>
    <t>减:融资租入增加的固定资产</t>
  </si>
  <si>
    <t>减：在建工程中的职工薪酬</t>
  </si>
  <si>
    <t>减：在建工程中的折旧和摊销</t>
  </si>
  <si>
    <t>购建固定资产、无形资产和其他长期资产所支付的现金</t>
  </si>
  <si>
    <t>交易性金融资产借方</t>
  </si>
  <si>
    <t>持有至到期投资借方</t>
  </si>
  <si>
    <t>可供出售金融资产借方</t>
  </si>
  <si>
    <t>长期股权投资借方</t>
  </si>
  <si>
    <t>投资性房地产借方</t>
  </si>
  <si>
    <t>减：长期股权投资-子公司借方</t>
  </si>
  <si>
    <t>减：开发产品转入投资性房地产</t>
  </si>
  <si>
    <t>投资支付的现金</t>
  </si>
  <si>
    <t>取得子公司及其他营业单位支付的现金</t>
  </si>
  <si>
    <t>取得子公司及其他营业单位支付的现金净额</t>
  </si>
  <si>
    <t>购买股票或债券所支付的款项中所包含的已到期尚未收到的股利或已到期尚未领取的利息</t>
  </si>
  <si>
    <t>处置子公司及其他营业单位收到的现金净额为负数时</t>
  </si>
  <si>
    <t>处置固定资产、无形资产和其他资产收回的现金净额为负数时</t>
  </si>
  <si>
    <t>支付其他与投资活动有关的现金</t>
  </si>
  <si>
    <t>财政补贴款</t>
  </si>
  <si>
    <t>吸收投资收到的现金</t>
  </si>
  <si>
    <t>长期借款收到的现金</t>
  </si>
  <si>
    <t>2501</t>
  </si>
  <si>
    <t>短期借款收到的现金</t>
  </si>
  <si>
    <t>2001</t>
  </si>
  <si>
    <t>取得借款收到的现金</t>
  </si>
  <si>
    <t>接受现金捐赠</t>
  </si>
  <si>
    <t>其他筹资收现</t>
  </si>
  <si>
    <t>收到其他与筹资活动有关的现金</t>
  </si>
  <si>
    <t>偿还短期借款本金付现额</t>
  </si>
  <si>
    <t>偿还长期借款本金付现额</t>
  </si>
  <si>
    <t>偿付到期债券本金付现额</t>
  </si>
  <si>
    <t>减：一年内到期的长期借款贷方</t>
  </si>
  <si>
    <t>减：一年内到期的应付债券贷方</t>
  </si>
  <si>
    <t>一年内到期的长期借款借方</t>
  </si>
  <si>
    <t>一年内到期的应付债券借方</t>
  </si>
  <si>
    <t>偿还债务支付的现金</t>
  </si>
  <si>
    <t>2232\应付股利</t>
  </si>
  <si>
    <t>6603010201</t>
  </si>
  <si>
    <t>支付应由财政补贴利息</t>
  </si>
  <si>
    <t>分配股利、利润或偿付利息支付的现金</t>
  </si>
  <si>
    <t>融资租入固定资产所支付的租赁费</t>
  </si>
  <si>
    <t>发行股票债券直接支付的手续费、宣传费、咨询费等费用</t>
  </si>
  <si>
    <t>商业承况汇票贴现息</t>
  </si>
  <si>
    <t>支付其他与筹资活动有关的现金</t>
  </si>
  <si>
    <t>1001</t>
  </si>
  <si>
    <t>1002</t>
  </si>
  <si>
    <t>现金期初数</t>
  </si>
  <si>
    <t>无形资产-国有企业</t>
    <phoneticPr fontId="1" type="noConversion"/>
  </si>
  <si>
    <t>16,13,10,9,6,3</t>
  </si>
  <si>
    <t>账面原值合计</t>
    <phoneticPr fontId="1" type="noConversion"/>
  </si>
  <si>
    <t>累计折耗合计</t>
    <phoneticPr fontId="1" type="noConversion"/>
  </si>
  <si>
    <t>油气资产账面净值合计</t>
    <phoneticPr fontId="1" type="noConversion"/>
  </si>
  <si>
    <t>油气资产减值准备累计金额合计</t>
    <phoneticPr fontId="1" type="noConversion"/>
  </si>
  <si>
    <t>油气资产账面价值合计</t>
    <phoneticPr fontId="1" type="noConversion"/>
  </si>
  <si>
    <t>项目</t>
    <phoneticPr fontId="1" type="noConversion"/>
  </si>
  <si>
    <t>本期数</t>
    <phoneticPr fontId="1" type="noConversion"/>
  </si>
  <si>
    <t>上年同期数</t>
    <phoneticPr fontId="1" type="noConversion"/>
  </si>
  <si>
    <t>减：提取任意盈余公积</t>
    <phoneticPr fontId="1" type="noConversion"/>
  </si>
  <si>
    <t>减：提取一般风险准备</t>
    <phoneticPr fontId="1" type="noConversion"/>
  </si>
  <si>
    <t>减：应付普通股股利</t>
    <phoneticPr fontId="1" type="noConversion"/>
  </si>
  <si>
    <t>减：转作股本的普通股股利</t>
    <phoneticPr fontId="1" type="noConversion"/>
  </si>
  <si>
    <t>子公司使用不同税率的影响</t>
    <phoneticPr fontId="1" type="noConversion"/>
  </si>
  <si>
    <t>其他</t>
    <phoneticPr fontId="1" type="noConversion"/>
  </si>
  <si>
    <t xml:space="preserve">        其他所有者权益内部结转</t>
    <phoneticPr fontId="1" type="noConversion"/>
  </si>
  <si>
    <t xml:space="preserve">        其他利润分配</t>
    <phoneticPr fontId="1" type="noConversion"/>
  </si>
  <si>
    <t xml:space="preserve">        其他所有者投入或减少资本</t>
    <phoneticPr fontId="1" type="noConversion"/>
  </si>
  <si>
    <t xml:space="preserve">        其他调整</t>
    <phoneticPr fontId="1" type="noConversion"/>
  </si>
  <si>
    <t>预收款项账龄分析</t>
    <phoneticPr fontId="1" type="noConversion"/>
  </si>
  <si>
    <t xml:space="preserve"> 在建工程原值</t>
  </si>
  <si>
    <t xml:space="preserve"> 减：在建工程减值准备</t>
  </si>
  <si>
    <t xml:space="preserve"> 在建工程</t>
  </si>
  <si>
    <t>link_column_num</t>
    <phoneticPr fontId="1" type="noConversion"/>
  </si>
  <si>
    <t>子企业情况-国有企业</t>
  </si>
  <si>
    <t>表决权不足半数但能形成控制-国有企业</t>
  </si>
  <si>
    <t>半数以上表决权但未控制-国有企业</t>
  </si>
  <si>
    <t>本年不再纳入合并范围原子公司的情况-国有企业</t>
  </si>
  <si>
    <t>原子公司在处置日和上一会计期间资产负债表日的财务状况-国有企业</t>
  </si>
  <si>
    <t>原子公司本年年初至处置日的经营成果-国有企业</t>
  </si>
  <si>
    <t>本年新纳入合并范围的主体-国有企业</t>
  </si>
  <si>
    <t>本年发生的同一控制下企业合并情况-国有企业</t>
  </si>
  <si>
    <t>本年发生的非同一控制下企业合并情况-国有企业</t>
  </si>
  <si>
    <t>本年发生的反向购买-国有企业</t>
  </si>
  <si>
    <t>本年发生的吸收合并-国有企业</t>
  </si>
  <si>
    <t>货币资金明细表</t>
  </si>
  <si>
    <t>受限货币资金明细表</t>
  </si>
  <si>
    <t>交易性金融资产明细表</t>
  </si>
  <si>
    <t>以公允价值计量且其变动计入当期损益的金融资产明细表</t>
  </si>
  <si>
    <t>衍生金融资产明细表</t>
  </si>
  <si>
    <t>应收票据明细表</t>
  </si>
  <si>
    <t>已质押票据明细表</t>
  </si>
  <si>
    <t>已背书或贴现且在资产负债表日尚未到期的应收票据明细表</t>
  </si>
  <si>
    <t>因出票人未履约而转为应收账款的票据明细表</t>
  </si>
  <si>
    <t>应收账款明细表</t>
  </si>
  <si>
    <t>应收款项融资明细表</t>
  </si>
  <si>
    <t>应收款项融资已转让已背书或已贴现未到期明细表</t>
  </si>
  <si>
    <t>预付账款明细表</t>
  </si>
  <si>
    <t>应收利息明细表</t>
  </si>
  <si>
    <t>应收股利明细表</t>
  </si>
  <si>
    <t>其他应收款减值准备明细表新金融工具准则</t>
  </si>
  <si>
    <t>其他应收款明细表</t>
  </si>
  <si>
    <t>合同履约明细表</t>
  </si>
  <si>
    <t>存货明细表</t>
  </si>
  <si>
    <t>合同资产明细表</t>
  </si>
  <si>
    <t>持有待售资产明细表</t>
  </si>
  <si>
    <t>一年内到期的非流动资产明细表</t>
  </si>
  <si>
    <t>其他流动资产明细表</t>
  </si>
  <si>
    <t>合同取得成本明细表</t>
  </si>
  <si>
    <t>债权投资明细表</t>
  </si>
  <si>
    <t>债权投资减值准备明细表</t>
  </si>
  <si>
    <t>可供出售债务工具明细表</t>
  </si>
  <si>
    <t>可供出售权益工具明细表</t>
  </si>
  <si>
    <t>其他债权投资明细表</t>
  </si>
  <si>
    <t>其他债权投资减值准备明细表</t>
  </si>
  <si>
    <t>长期应收款明细表</t>
  </si>
  <si>
    <t>长期应收款减值准备明细表新金融工具</t>
  </si>
  <si>
    <t>因金融资产转移而终止确认的长期应收款明细表</t>
  </si>
  <si>
    <t>向投资企业转移资金的能力受到限制的有关情况国有企业</t>
  </si>
  <si>
    <t>长期股权投资明细表</t>
  </si>
  <si>
    <t>合营企业和联营企业主要财务信息明细表</t>
  </si>
  <si>
    <t>其他权益工具投资明细表</t>
  </si>
  <si>
    <t>其他非流动金融资产明细表</t>
  </si>
  <si>
    <t>成本法核算投资性房地产明细表</t>
  </si>
  <si>
    <t>采用公允价值计量模式的投资性房地产明细表</t>
  </si>
  <si>
    <t>未办妥权证的投资性房地产明细表</t>
  </si>
  <si>
    <t>固定资产明细表</t>
  </si>
  <si>
    <t>暂时闲置的固定资产明细表</t>
  </si>
  <si>
    <t>经营租赁租出固定资产明细表</t>
  </si>
  <si>
    <t>未办妥权证的固定资产明细表</t>
  </si>
  <si>
    <t>固定资产清理明细表</t>
  </si>
  <si>
    <t>在建工程明细表</t>
  </si>
  <si>
    <t>工程物资明细表</t>
  </si>
  <si>
    <t>生产性生物资产明细表</t>
  </si>
  <si>
    <t>油气资产明细表</t>
  </si>
  <si>
    <t>使用权资产明细表</t>
  </si>
  <si>
    <t>无形资产明细表</t>
  </si>
  <si>
    <t>未办妥产权证书的无形资产明细表</t>
  </si>
  <si>
    <t>开发支出明细表</t>
  </si>
  <si>
    <t>商誉明细表</t>
  </si>
  <si>
    <t>长期待摊费用明细表</t>
  </si>
  <si>
    <t>其他非流动资产明细表</t>
  </si>
  <si>
    <t>短期借款明细表</t>
  </si>
  <si>
    <t>应付账款明细表</t>
  </si>
  <si>
    <t>预收账款明细表</t>
  </si>
  <si>
    <t>应付职工薪酬明细表</t>
  </si>
  <si>
    <t>应交税费明细表</t>
  </si>
  <si>
    <t>应付利息明细表</t>
  </si>
  <si>
    <t>应付股利明细表</t>
  </si>
  <si>
    <t>其他应付款明细表</t>
  </si>
  <si>
    <t>租赁负债明细表</t>
  </si>
  <si>
    <t>长期借款明细表</t>
  </si>
  <si>
    <t>长期应付款明细表</t>
  </si>
  <si>
    <t>专项应付款明细表</t>
  </si>
  <si>
    <t>应付债券明细表</t>
  </si>
  <si>
    <t>主营业务明细表</t>
  </si>
  <si>
    <t>其他业务明细表</t>
  </si>
  <si>
    <t>可抵扣暂时性差异明细表</t>
  </si>
  <si>
    <t>应纳税暂时性差异明细表</t>
  </si>
  <si>
    <t>对外担保明细表</t>
  </si>
  <si>
    <t>其他或有事项明细表</t>
  </si>
  <si>
    <t>预计负债明细表</t>
  </si>
  <si>
    <t>递延收益明细表</t>
  </si>
  <si>
    <t>未实现售后回租损益明细表</t>
  </si>
  <si>
    <t>非同一控制下企业合并上市公司</t>
  </si>
  <si>
    <t>同一控制下企业合并上市公司</t>
  </si>
  <si>
    <t>单次处置对子公司投资即丧失控制权上市公司</t>
  </si>
  <si>
    <t>多次处置构成一揽子交易上市公司</t>
  </si>
  <si>
    <t>多次处置不构成一揽子交易上市公司</t>
  </si>
  <si>
    <t>其他合并范围增加上市公司</t>
  </si>
  <si>
    <t xml:space="preserve"> 其他合并范围减少上市公司</t>
  </si>
  <si>
    <t>企业集团的构成上市公司</t>
  </si>
  <si>
    <t>重要的非全资子公司上市公司</t>
  </si>
  <si>
    <t>重要非全资子企业期末资产负债上市公司</t>
  </si>
  <si>
    <t>重要非全资子企业期初资产负债上市公司</t>
  </si>
  <si>
    <t>重要非全资子企业本期损益和现金流量情况上市公司</t>
  </si>
  <si>
    <t>重要非全资子企业上期损益和现金流量情况上市公司</t>
  </si>
  <si>
    <t>在子公司的所有者权益份额发生变化的情况说明上市公司</t>
  </si>
  <si>
    <t>重要的合营企业或联营企业上市公司</t>
  </si>
  <si>
    <t>合营企业或联营企业发生的超额亏损上市公司</t>
  </si>
  <si>
    <t>重要的共同经营上市公司</t>
  </si>
  <si>
    <t>第三层次公允价值计量项目期初与期末账面价值间的调节信息上市公司</t>
  </si>
  <si>
    <t>不以公允价值计量的金融资产和金融负债的公允价值情况上市公司</t>
  </si>
  <si>
    <t>首次执行日前后金融资产分类和计量对比表</t>
  </si>
  <si>
    <t>新旧金融工具调节表</t>
  </si>
  <si>
    <t>金融资产减值准备调节表</t>
  </si>
  <si>
    <t>新金融工具准则对期初留存收益和其他综合收益的影响</t>
  </si>
  <si>
    <t>新收入准则对期初财务报表的影响</t>
  </si>
  <si>
    <t>新收入准则对期末资产负债表的影响</t>
  </si>
  <si>
    <t>新收入准则对利润表的影响</t>
  </si>
  <si>
    <t>新租赁准则对期初报表的影响</t>
  </si>
  <si>
    <t>最低经营租赁付款额与租赁负债调节表</t>
  </si>
  <si>
    <t>主要税种及税率</t>
  </si>
  <si>
    <t>由金融资产转移而终止确认的应收账款</t>
  </si>
  <si>
    <t>转移应收账款且继续涉入形成的资产负债</t>
  </si>
  <si>
    <t>由金融资产转移而终止确认的其他应收款项</t>
  </si>
  <si>
    <t>转移其他应收款且继续涉入形成的资产负债</t>
  </si>
  <si>
    <t>按应收金额确认的政府补助</t>
  </si>
  <si>
    <t>持有至到期投资明细情况</t>
  </si>
  <si>
    <t>期末重要的持有至到期投资</t>
  </si>
  <si>
    <t>转移长期应收款且继续涉入形成的资产负债金额</t>
  </si>
  <si>
    <t>短期应付债券</t>
  </si>
  <si>
    <t>期末发行在外的优先股永续债等金融工具情况</t>
  </si>
  <si>
    <t>发行在外的优先股永续债等金融工具变动情况</t>
  </si>
  <si>
    <t>长期应付职工薪酬明细情况</t>
  </si>
  <si>
    <t>设定受益计划义务现值</t>
  </si>
  <si>
    <t>计划资产</t>
  </si>
  <si>
    <t>设定受益计划净负债</t>
  </si>
  <si>
    <t>资产处置收益</t>
  </si>
  <si>
    <t>收到其他与投资活动有关的现金</t>
  </si>
  <si>
    <t>现金及现金等价物的构成</t>
  </si>
  <si>
    <t>所有权或使用权受到限制的资产</t>
  </si>
  <si>
    <t>外币货币性项目</t>
  </si>
  <si>
    <t>其他关联方情况</t>
  </si>
  <si>
    <t>采购商品接收劳务</t>
  </si>
  <si>
    <t>出售商品提供劳务</t>
  </si>
  <si>
    <t>本公司作为出租方</t>
  </si>
  <si>
    <t>本公司作为承租方</t>
  </si>
  <si>
    <t>本公司作为承租方当期承担的租赁负债利息支出</t>
  </si>
  <si>
    <t>本公司作为担保方</t>
  </si>
  <si>
    <t>本公司作为被担保方</t>
  </si>
  <si>
    <t>关联方资金拆借</t>
  </si>
  <si>
    <t>应收关联方款项</t>
  </si>
  <si>
    <t>应付关联方款项</t>
  </si>
  <si>
    <t>关联方承诺上市公司</t>
  </si>
  <si>
    <t>金融负债按剩余到期日分类期末数上市公司</t>
  </si>
  <si>
    <t>金融负债按剩余到期日分类期初数上市公司</t>
  </si>
  <si>
    <t>外币货币性项目上市公司</t>
  </si>
  <si>
    <t>外汇风险敏感性分析</t>
  </si>
  <si>
    <t>利率敏感性分析上市公司</t>
  </si>
  <si>
    <t>以公允价值计量的资产和负债的期末公允价值明细情况上市公司</t>
  </si>
  <si>
    <t>资本承诺上市公司</t>
  </si>
  <si>
    <t>按收入来源地划分的对外交易收入</t>
  </si>
  <si>
    <t>按资产所在地划分的非流动资产</t>
  </si>
  <si>
    <t>sheetname</t>
    <phoneticPr fontId="1" type="noConversion"/>
  </si>
  <si>
    <t>股权取得成本</t>
    <phoneticPr fontId="1" type="noConversion"/>
  </si>
  <si>
    <t>合并当年年初至合并日被合并方的收入</t>
    <phoneticPr fontId="1" type="noConversion"/>
  </si>
  <si>
    <t>合并当年年初至合并日被合并方的净利润</t>
    <phoneticPr fontId="1" type="noConversion"/>
  </si>
  <si>
    <t>丧失控制权之日剩余股权的账面价值</t>
    <phoneticPr fontId="1" type="noConversion"/>
  </si>
  <si>
    <t>存货期末数</t>
    <phoneticPr fontId="1" type="noConversion"/>
  </si>
  <si>
    <t>减：存货期初数</t>
    <phoneticPr fontId="1" type="noConversion"/>
  </si>
  <si>
    <t>减：存货利息资本化</t>
    <phoneticPr fontId="1" type="noConversion"/>
  </si>
  <si>
    <t>主营业务成本-职工薪酬</t>
    <phoneticPr fontId="1" type="noConversion"/>
  </si>
  <si>
    <t>应付职工薪酬借方</t>
    <phoneticPr fontId="1" type="noConversion"/>
  </si>
  <si>
    <t>应交税费借方合计</t>
    <phoneticPr fontId="1" type="noConversion"/>
  </si>
  <si>
    <t>减：应交税费-个人所得</t>
    <phoneticPr fontId="1" type="noConversion"/>
  </si>
  <si>
    <t>销售费用合计</t>
    <phoneticPr fontId="1" type="noConversion"/>
  </si>
  <si>
    <t>减：职工薪酬</t>
    <phoneticPr fontId="1" type="noConversion"/>
  </si>
  <si>
    <t>减：折旧及摊销</t>
    <phoneticPr fontId="1" type="noConversion"/>
  </si>
  <si>
    <t>研发费用</t>
    <phoneticPr fontId="1" type="noConversion"/>
  </si>
  <si>
    <t>其他应收款期末数</t>
  </si>
  <si>
    <t>减：其他应收款期初数</t>
  </si>
  <si>
    <t>其他应付款期初数</t>
  </si>
  <si>
    <t>减：其他应付款期末数</t>
  </si>
  <si>
    <t>处置销项税</t>
    <phoneticPr fontId="1" type="noConversion"/>
  </si>
  <si>
    <t>企业借款利息收入</t>
    <phoneticPr fontId="1" type="noConversion"/>
  </si>
  <si>
    <t>非流动资产进项税</t>
    <phoneticPr fontId="1" type="noConversion"/>
  </si>
  <si>
    <t>应付股利（期初-期末）</t>
    <phoneticPr fontId="1" type="noConversion"/>
  </si>
  <si>
    <t>应付利息（期初-期末）</t>
    <phoneticPr fontId="1" type="noConversion"/>
  </si>
  <si>
    <t>2231\应付利息</t>
    <phoneticPr fontId="1" type="noConversion"/>
  </si>
  <si>
    <t>股利分配</t>
    <phoneticPr fontId="1" type="noConversion"/>
  </si>
  <si>
    <t>现金期末数</t>
    <phoneticPr fontId="1" type="noConversion"/>
  </si>
  <si>
    <t>与现金比较</t>
    <phoneticPr fontId="1" type="noConversion"/>
  </si>
  <si>
    <t>与货币资金比较</t>
    <phoneticPr fontId="1" type="noConversion"/>
  </si>
  <si>
    <t>待转销项税</t>
    <phoneticPr fontId="1" type="noConversion"/>
  </si>
  <si>
    <t>减少注册资本支付的金额</t>
    <phoneticPr fontId="1" type="noConversion"/>
  </si>
  <si>
    <t>企业间资金拆借利息支出</t>
    <phoneticPr fontId="1" type="noConversion"/>
  </si>
  <si>
    <t>所得税费用计算</t>
    <phoneticPr fontId="1" type="noConversion"/>
  </si>
  <si>
    <t>无形资产</t>
    <phoneticPr fontId="1" type="noConversion"/>
  </si>
  <si>
    <t>投资性房地产-按公允价值计量</t>
    <phoneticPr fontId="1" type="noConversion"/>
  </si>
  <si>
    <t>投资性房地产-按成本计量</t>
    <phoneticPr fontId="1" type="noConversion"/>
  </si>
  <si>
    <t>应收账款账龄分析</t>
    <phoneticPr fontId="1" type="noConversion"/>
  </si>
  <si>
    <t>其他应收款账龄分析</t>
    <phoneticPr fontId="1" type="noConversion"/>
  </si>
  <si>
    <t>在建工程</t>
    <phoneticPr fontId="1" type="noConversion"/>
  </si>
  <si>
    <t>按单项计提坏账准备</t>
    <phoneticPr fontId="1" type="noConversion"/>
  </si>
  <si>
    <t>按组合计提坏账准备</t>
    <phoneticPr fontId="1" type="noConversion"/>
  </si>
  <si>
    <t>计提</t>
    <phoneticPr fontId="1" type="noConversion"/>
  </si>
  <si>
    <t>收回或转回</t>
    <phoneticPr fontId="1" type="noConversion"/>
  </si>
  <si>
    <t>转销或核销</t>
    <phoneticPr fontId="1" type="noConversion"/>
  </si>
  <si>
    <t>其他变动</t>
    <phoneticPr fontId="1" type="noConversion"/>
  </si>
  <si>
    <t>组合计提坏账准备</t>
  </si>
  <si>
    <t>资金拆借利息</t>
  </si>
  <si>
    <t>土地储备</t>
  </si>
  <si>
    <t>押金及保证金组合</t>
  </si>
  <si>
    <t>应收政府部门及其控制的公司款项</t>
  </si>
  <si>
    <t>余额百分比法</t>
  </si>
  <si>
    <t>单位住房资金</t>
  </si>
  <si>
    <t>其他长期资产</t>
  </si>
  <si>
    <t>投资理财</t>
  </si>
  <si>
    <t>补贴款</t>
  </si>
  <si>
    <t>应退资本金</t>
  </si>
  <si>
    <t>房屋维修基金</t>
  </si>
  <si>
    <t>粮食收入</t>
  </si>
  <si>
    <t>检测收入</t>
  </si>
  <si>
    <t>维护费收入</t>
  </si>
  <si>
    <t>物业服务</t>
  </si>
  <si>
    <t>食堂收入</t>
  </si>
  <si>
    <t>物资销售</t>
  </si>
  <si>
    <t>融资租赁收入</t>
  </si>
  <si>
    <t>保管费</t>
  </si>
  <si>
    <t>运杂费</t>
  </si>
  <si>
    <t>收购费用</t>
  </si>
  <si>
    <t>业务宣传费</t>
  </si>
  <si>
    <t>卫生保洁费</t>
  </si>
  <si>
    <t>物业管理费</t>
  </si>
  <si>
    <t>销售代理佣金</t>
  </si>
  <si>
    <t>劳动保护费</t>
  </si>
  <si>
    <t>审计评估费</t>
  </si>
  <si>
    <t>网点建设基金</t>
  </si>
  <si>
    <t>邮电费</t>
  </si>
  <si>
    <t>书刊费</t>
  </si>
  <si>
    <t>聘请中介结构费用</t>
  </si>
  <si>
    <t>残疾人就业保证金</t>
  </si>
  <si>
    <t>通信费</t>
  </si>
  <si>
    <t>汽车费用</t>
  </si>
  <si>
    <t>招聘费</t>
  </si>
  <si>
    <t>委托外部开发费</t>
  </si>
  <si>
    <t>入廊费</t>
  </si>
  <si>
    <t>工程结算款</t>
  </si>
  <si>
    <t>合同履约成本</t>
  </si>
  <si>
    <t>其他收入</t>
  </si>
  <si>
    <t>其他应收款性质与账龄一致</t>
    <phoneticPr fontId="1" type="noConversion"/>
  </si>
  <si>
    <t>其他应收款坏账准备金额</t>
    <phoneticPr fontId="1" type="noConversion"/>
  </si>
  <si>
    <t>应收账款单项金额</t>
    <phoneticPr fontId="1" type="noConversion"/>
  </si>
  <si>
    <t>应收账款组合金额</t>
    <phoneticPr fontId="1" type="noConversion"/>
  </si>
  <si>
    <t>应收账款账龄核对</t>
    <phoneticPr fontId="1" type="noConversion"/>
  </si>
  <si>
    <t>应收账款坏账核对</t>
    <phoneticPr fontId="1" type="noConversion"/>
  </si>
  <si>
    <t>投资性的利息收入（以正数反映，包括以投资为目的的非现金及现金等价物的定期存款利息收入、企业间资金拆借利息收入、具有融资性质的分期收款销售后续确认的利息收入等）</t>
    <phoneticPr fontId="1" type="noConversion"/>
  </si>
  <si>
    <t>银行借款、应付债券利息支出</t>
    <phoneticPr fontId="1" type="noConversion"/>
  </si>
  <si>
    <t>2021年度</t>
    <phoneticPr fontId="1" type="noConversion"/>
  </si>
  <si>
    <t>二〇二二年三月二十日</t>
    <phoneticPr fontId="1" type="noConversion"/>
  </si>
  <si>
    <t>在某一时段内确认</t>
  </si>
  <si>
    <t>在某一时段内确认</t>
    <phoneticPr fontId="1" type="noConversion"/>
  </si>
  <si>
    <t>租赁收入</t>
    <phoneticPr fontId="1" type="noConversion"/>
  </si>
  <si>
    <t>在某一时点确认</t>
  </si>
  <si>
    <t>在某一时点确认</t>
    <phoneticPr fontId="1" type="noConversion"/>
  </si>
  <si>
    <t>其他收入</t>
    <phoneticPr fontId="1" type="noConversion"/>
  </si>
  <si>
    <t>市场经营</t>
  </si>
  <si>
    <t>房地产销售</t>
  </si>
  <si>
    <t>进出口贸易</t>
  </si>
  <si>
    <t>酒店服务</t>
  </si>
  <si>
    <t>售水服务</t>
  </si>
  <si>
    <t>展览广告</t>
  </si>
  <si>
    <t>污水处理</t>
  </si>
  <si>
    <t>场地费</t>
  </si>
  <si>
    <t>工程安装</t>
  </si>
  <si>
    <t>粮食销售</t>
  </si>
  <si>
    <t>保安服务</t>
  </si>
  <si>
    <t>旅游业务</t>
  </si>
  <si>
    <t>房屋租赁</t>
  </si>
  <si>
    <t>检测业务</t>
  </si>
  <si>
    <t>担保业务</t>
  </si>
  <si>
    <t>电影票房</t>
  </si>
  <si>
    <t>物业管理</t>
  </si>
  <si>
    <t>交通运输</t>
  </si>
  <si>
    <t>废旧物资销售</t>
  </si>
  <si>
    <t>中介服务</t>
  </si>
  <si>
    <t>港口服务</t>
  </si>
  <si>
    <t>基础设施建设</t>
  </si>
  <si>
    <t>代建服务</t>
  </si>
  <si>
    <t>水利工程</t>
  </si>
  <si>
    <t>收入确认时点</t>
  </si>
  <si>
    <t>确认方式</t>
    <phoneticPr fontId="1" type="noConversion"/>
  </si>
  <si>
    <t>索引2</t>
    <phoneticPr fontId="1" type="noConversion"/>
  </si>
  <si>
    <t>按时间确认方式核对</t>
    <phoneticPr fontId="1" type="noConversion"/>
  </si>
  <si>
    <t>与资产相关/与收益相关</t>
    <phoneticPr fontId="1" type="noConversion"/>
  </si>
  <si>
    <t>新增</t>
    <phoneticPr fontId="1" type="noConversion"/>
  </si>
  <si>
    <t>期初数</t>
    <phoneticPr fontId="1" type="noConversion"/>
  </si>
  <si>
    <t>本期增加</t>
    <phoneticPr fontId="1" type="noConversion"/>
  </si>
  <si>
    <t>本期减少</t>
    <phoneticPr fontId="1" type="noConversion"/>
  </si>
  <si>
    <t xml:space="preserve"> 库存现金</t>
  </si>
  <si>
    <t xml:space="preserve"> 银行存款</t>
  </si>
  <si>
    <t xml:space="preserve"> 其他货币资金</t>
  </si>
  <si>
    <t xml:space="preserve"> 应收账款</t>
  </si>
  <si>
    <t xml:space="preserve"> 其他应收款</t>
  </si>
  <si>
    <t xml:space="preserve"> 坏帐准备</t>
  </si>
  <si>
    <t xml:space="preserve"> 可供出售金融资产</t>
  </si>
  <si>
    <t xml:space="preserve"> 其他权益工具投资</t>
  </si>
  <si>
    <t xml:space="preserve"> 其他非流动金融资产</t>
  </si>
  <si>
    <t xml:space="preserve"> 长期股权投资</t>
  </si>
  <si>
    <t xml:space="preserve"> 投资性房地产</t>
  </si>
  <si>
    <t xml:space="preserve"> 投资性房地产累计折旧（摊销）</t>
  </si>
  <si>
    <t xml:space="preserve"> 固定资产</t>
  </si>
  <si>
    <t xml:space="preserve"> 累计折旧</t>
  </si>
  <si>
    <t xml:space="preserve"> 固定资产清理</t>
  </si>
  <si>
    <t xml:space="preserve"> 无形资产</t>
  </si>
  <si>
    <t xml:space="preserve"> 累计摊销</t>
  </si>
  <si>
    <t xml:space="preserve"> 长期待摊费用</t>
  </si>
  <si>
    <t xml:space="preserve"> 递延所得税资产</t>
  </si>
  <si>
    <t xml:space="preserve"> 其他非流动资产</t>
  </si>
  <si>
    <t xml:space="preserve"> 短期借款</t>
  </si>
  <si>
    <t xml:space="preserve"> 应付账款</t>
  </si>
  <si>
    <t xml:space="preserve"> 应付职工薪酬</t>
  </si>
  <si>
    <t xml:space="preserve"> 应交税费</t>
  </si>
  <si>
    <t xml:space="preserve"> 应付利息</t>
  </si>
  <si>
    <t xml:space="preserve"> 其他应付款</t>
  </si>
  <si>
    <t xml:space="preserve"> 递延收益</t>
  </si>
  <si>
    <t xml:space="preserve"> 长期借款</t>
  </si>
  <si>
    <t xml:space="preserve"> 应付债券</t>
  </si>
  <si>
    <t xml:space="preserve"> 长期应付款</t>
  </si>
  <si>
    <t xml:space="preserve"> 递延所得税负债</t>
  </si>
  <si>
    <t xml:space="preserve"> 实收资本（股本）</t>
  </si>
  <si>
    <t xml:space="preserve"> 资本公积</t>
  </si>
  <si>
    <t xml:space="preserve"> 盈余公积</t>
  </si>
  <si>
    <t xml:space="preserve"> 本年利润</t>
  </si>
  <si>
    <t xml:space="preserve"> 利润分配</t>
  </si>
  <si>
    <t xml:space="preserve"> 原其他综合收益</t>
  </si>
  <si>
    <t xml:space="preserve"> 开发成本</t>
  </si>
  <si>
    <t xml:space="preserve"> 主营业务收入</t>
  </si>
  <si>
    <t xml:space="preserve"> 其他业务收入</t>
  </si>
  <si>
    <t xml:space="preserve"> 投资收益</t>
  </si>
  <si>
    <t xml:space="preserve"> 其他收益</t>
  </si>
  <si>
    <t xml:space="preserve"> 营业外收入</t>
  </si>
  <si>
    <t xml:space="preserve"> 主营业务成本</t>
  </si>
  <si>
    <t xml:space="preserve"> 税金及附加</t>
  </si>
  <si>
    <t xml:space="preserve"> 管理费用</t>
  </si>
  <si>
    <t xml:space="preserve"> 财务费用</t>
  </si>
  <si>
    <t xml:space="preserve"> 营业外支出</t>
  </si>
  <si>
    <t>2022年3月20日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</si>
</sst>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 numFmtId="182" formatCode="#,##0.00_ ;[Red]\-#,##0.00\ "/>
  </numFmts>
  <fonts count="83">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b/>
      <sz val="10"/>
      <name val="等线"/>
      <family val="1"/>
      <charset val="134"/>
    </font>
    <font>
      <b/>
      <sz val="10"/>
      <name val="等线"/>
      <family val="3"/>
      <charset val="134"/>
    </font>
    <font>
      <sz val="10.5"/>
      <color theme="1"/>
      <name val="Arial"/>
      <family val="2"/>
      <charset val="134"/>
    </font>
  </fonts>
  <fills count="1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2" fillId="0" borderId="0"/>
    <xf numFmtId="0" fontId="32" fillId="0" borderId="0"/>
    <xf numFmtId="0" fontId="32" fillId="0" borderId="0"/>
    <xf numFmtId="0" fontId="45" fillId="0" borderId="0"/>
    <xf numFmtId="0" fontId="45" fillId="0" borderId="0">
      <alignment vertical="center"/>
    </xf>
    <xf numFmtId="0" fontId="45" fillId="0" borderId="0"/>
    <xf numFmtId="9" fontId="15" fillId="0" borderId="0" applyFont="0" applyFill="0" applyBorder="0" applyAlignment="0" applyProtection="0">
      <alignment vertical="center"/>
    </xf>
    <xf numFmtId="0" fontId="45" fillId="0" borderId="0"/>
    <xf numFmtId="0" fontId="45" fillId="0" borderId="0"/>
    <xf numFmtId="0" fontId="36" fillId="0" borderId="0">
      <alignment vertical="center"/>
    </xf>
    <xf numFmtId="180" fontId="35" fillId="0" borderId="0"/>
    <xf numFmtId="180" fontId="35" fillId="0" borderId="0"/>
    <xf numFmtId="0" fontId="45" fillId="0" borderId="0"/>
    <xf numFmtId="43" fontId="45" fillId="0" borderId="0"/>
    <xf numFmtId="0" fontId="45" fillId="0" borderId="0">
      <alignment vertical="center"/>
    </xf>
    <xf numFmtId="43" fontId="45" fillId="0" borderId="0" applyFont="0" applyFill="0" applyBorder="0" applyAlignment="0" applyProtection="0"/>
    <xf numFmtId="43" fontId="65" fillId="0" borderId="0" applyFont="0" applyFill="0" applyBorder="0" applyAlignment="0" applyProtection="0">
      <alignment vertical="center"/>
    </xf>
    <xf numFmtId="9" fontId="65" fillId="0" borderId="0" applyFont="0" applyFill="0" applyBorder="0" applyAlignment="0" applyProtection="0">
      <alignment vertical="center"/>
    </xf>
    <xf numFmtId="0" fontId="35" fillId="0" borderId="0"/>
  </cellStyleXfs>
  <cellXfs count="710">
    <xf numFmtId="0" fontId="0" fillId="0" borderId="0" xfId="0"/>
    <xf numFmtId="43" fontId="0" fillId="0" borderId="0" xfId="1" applyFont="1" applyBorder="1" applyAlignment="1"/>
    <xf numFmtId="176" fontId="34"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center" vertical="center" shrinkToFit="1"/>
      <protection locked="0"/>
    </xf>
    <xf numFmtId="177" fontId="46"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7"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8"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29"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2"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wrapText="1" indent="4"/>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2" fillId="0" borderId="0" xfId="0" applyFont="1" applyBorder="1" applyAlignment="1">
      <alignment vertical="center" wrapText="1"/>
    </xf>
    <xf numFmtId="0" fontId="25" fillId="0" borderId="0" xfId="0" applyFont="1" applyBorder="1" applyAlignment="1">
      <alignment vertical="center" wrapText="1"/>
    </xf>
    <xf numFmtId="0" fontId="22" fillId="0" borderId="0" xfId="0" applyFont="1" applyBorder="1" applyAlignment="1">
      <alignment horizontal="center" vertical="center" wrapText="1"/>
    </xf>
    <xf numFmtId="0" fontId="5" fillId="0" borderId="0" xfId="0" applyFont="1" applyBorder="1" applyAlignment="1">
      <alignment horizontal="right" vertical="center" wrapText="1"/>
    </xf>
    <xf numFmtId="0" fontId="22" fillId="0" borderId="0" xfId="0" applyFont="1" applyBorder="1" applyAlignment="1">
      <alignment horizontal="left" vertical="center"/>
    </xf>
    <xf numFmtId="0" fontId="27"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wrapText="1"/>
    </xf>
    <xf numFmtId="0" fontId="8" fillId="0" borderId="0" xfId="0" applyFont="1" applyBorder="1" applyAlignment="1">
      <alignment horizontal="justify" vertical="center" wrapText="1"/>
    </xf>
    <xf numFmtId="0" fontId="24"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177" fontId="40" fillId="0" borderId="0" xfId="4" quotePrefix="1" applyNumberFormat="1" applyFont="1" applyBorder="1" applyAlignment="1">
      <alignment horizontal="center" vertical="center"/>
    </xf>
    <xf numFmtId="177" fontId="40" fillId="0" borderId="0" xfId="4"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left" vertical="center"/>
    </xf>
    <xf numFmtId="177" fontId="40" fillId="0" borderId="0" xfId="4" quotePrefix="1" applyNumberFormat="1" applyFont="1" applyBorder="1" applyAlignment="1">
      <alignment horizontal="left" vertical="center"/>
    </xf>
    <xf numFmtId="178" fontId="41" fillId="0" borderId="0" xfId="1" applyNumberFormat="1" applyFont="1" applyBorder="1">
      <alignment vertical="center"/>
    </xf>
    <xf numFmtId="177" fontId="43" fillId="0" borderId="0" xfId="4" applyNumberFormat="1" applyFont="1" applyBorder="1" applyAlignment="1">
      <alignment horizontal="left" vertical="center"/>
    </xf>
    <xf numFmtId="177" fontId="41" fillId="0" borderId="0" xfId="4" applyNumberFormat="1" applyFont="1" applyBorder="1" applyAlignment="1">
      <alignment horizontal="left" vertical="center"/>
    </xf>
    <xf numFmtId="0" fontId="41" fillId="0" borderId="0" xfId="4" applyFont="1" applyBorder="1" applyAlignment="1">
      <alignment horizontal="left" vertical="center"/>
    </xf>
    <xf numFmtId="177" fontId="44" fillId="0" borderId="0" xfId="4" quotePrefix="1" applyNumberFormat="1" applyFont="1" applyBorder="1" applyAlignment="1">
      <alignment horizontal="center" vertical="center"/>
    </xf>
    <xf numFmtId="178" fontId="41" fillId="5" borderId="0" xfId="1" applyNumberFormat="1" applyFont="1" applyFill="1" applyBorder="1">
      <alignment vertical="center"/>
    </xf>
    <xf numFmtId="178" fontId="41" fillId="0" borderId="0" xfId="4" applyNumberFormat="1" applyFont="1" applyBorder="1" applyAlignment="1">
      <alignment vertical="center"/>
    </xf>
    <xf numFmtId="177" fontId="40" fillId="0" borderId="0" xfId="4" applyNumberFormat="1" applyFont="1" applyBorder="1" applyAlignment="1">
      <alignment horizontal="left" vertical="center"/>
    </xf>
    <xf numFmtId="178" fontId="41" fillId="0" borderId="0" xfId="1" applyNumberFormat="1" applyFont="1" applyBorder="1" applyAlignment="1">
      <alignment horizontal="right" vertical="center"/>
    </xf>
    <xf numFmtId="178" fontId="41" fillId="5" borderId="0" xfId="1" applyNumberFormat="1" applyFont="1" applyFill="1" applyBorder="1" applyAlignment="1">
      <alignment horizontal="right" vertical="center"/>
    </xf>
    <xf numFmtId="178" fontId="41" fillId="0" borderId="0" xfId="4" applyNumberFormat="1" applyFont="1" applyBorder="1" applyAlignment="1">
      <alignment horizontal="right" vertical="center"/>
    </xf>
    <xf numFmtId="177" fontId="42" fillId="0" borderId="0" xfId="4" applyNumberFormat="1" applyFont="1" applyBorder="1" applyAlignment="1">
      <alignment horizontal="center" vertical="center"/>
    </xf>
    <xf numFmtId="178" fontId="41" fillId="5" borderId="0" xfId="4" applyNumberFormat="1" applyFont="1" applyFill="1" applyBorder="1" applyAlignment="1">
      <alignment horizontal="right" vertical="center"/>
    </xf>
    <xf numFmtId="43" fontId="0" fillId="0" borderId="0" xfId="1" applyFont="1" applyBorder="1" applyAlignment="1">
      <alignment horizontal="center"/>
    </xf>
    <xf numFmtId="0" fontId="39" fillId="0" borderId="0" xfId="3" applyFont="1" applyBorder="1" applyProtection="1">
      <protection locked="0"/>
    </xf>
    <xf numFmtId="0" fontId="35" fillId="0" borderId="0" xfId="3" applyFont="1" applyBorder="1" applyAlignment="1" applyProtection="1">
      <alignment vertical="center"/>
      <protection locked="0"/>
    </xf>
    <xf numFmtId="176" fontId="33" fillId="0" borderId="0" xfId="2" applyNumberFormat="1" applyFont="1" applyBorder="1" applyAlignment="1">
      <alignment horizontal="center" vertical="center"/>
    </xf>
    <xf numFmtId="176" fontId="34" fillId="0" borderId="0" xfId="2" applyNumberFormat="1" applyFont="1" applyBorder="1" applyAlignment="1">
      <alignment vertical="center"/>
    </xf>
    <xf numFmtId="176" fontId="32" fillId="0" borderId="0" xfId="2" applyNumberFormat="1" applyBorder="1" applyAlignment="1" applyProtection="1">
      <alignment horizontal="center" vertical="center"/>
      <protection locked="0"/>
    </xf>
    <xf numFmtId="176" fontId="32" fillId="0" borderId="0" xfId="2" applyNumberFormat="1" applyBorder="1" applyAlignment="1">
      <alignment vertical="center"/>
    </xf>
    <xf numFmtId="176" fontId="35" fillId="0" borderId="0" xfId="2" applyNumberFormat="1" applyFont="1" applyBorder="1" applyAlignment="1">
      <alignment vertical="center"/>
    </xf>
    <xf numFmtId="176" fontId="32" fillId="2" borderId="0" xfId="2" applyNumberFormat="1" applyFill="1" applyBorder="1" applyAlignment="1" applyProtection="1">
      <alignment horizontal="center" vertical="center"/>
      <protection locked="0"/>
    </xf>
    <xf numFmtId="176" fontId="0" fillId="0" borderId="0" xfId="0" applyNumberFormat="1" applyBorder="1"/>
    <xf numFmtId="176" fontId="35" fillId="0" borderId="0" xfId="2" applyNumberFormat="1" applyFont="1" applyBorder="1" applyAlignment="1">
      <alignment vertical="center" wrapText="1"/>
    </xf>
    <xf numFmtId="176" fontId="35" fillId="0" borderId="0" xfId="2" applyNumberFormat="1" applyFont="1" applyBorder="1" applyAlignment="1" applyProtection="1">
      <alignment horizontal="center" vertical="center"/>
      <protection locked="0"/>
    </xf>
    <xf numFmtId="176" fontId="32" fillId="0" borderId="0" xfId="2" applyNumberFormat="1" applyBorder="1" applyAlignment="1" applyProtection="1">
      <alignment horizontal="right" vertical="center"/>
      <protection locked="0"/>
    </xf>
    <xf numFmtId="176" fontId="34" fillId="0" borderId="0" xfId="2" applyNumberFormat="1" applyFont="1" applyBorder="1" applyAlignment="1" applyProtection="1">
      <alignment horizontal="right" vertical="center"/>
      <protection locked="0"/>
    </xf>
    <xf numFmtId="176" fontId="34" fillId="0" borderId="0" xfId="2" applyNumberFormat="1" applyFont="1" applyBorder="1" applyAlignment="1">
      <alignment horizontal="center" vertical="center"/>
    </xf>
    <xf numFmtId="176" fontId="34" fillId="0" borderId="0" xfId="2" applyNumberFormat="1" applyFont="1" applyBorder="1" applyAlignment="1" applyProtection="1">
      <alignment horizontal="center" vertical="center"/>
      <protection locked="0"/>
    </xf>
    <xf numFmtId="176" fontId="34" fillId="0" borderId="0" xfId="2" applyNumberFormat="1" applyFont="1" applyBorder="1" applyAlignment="1">
      <alignment vertical="center" wrapText="1" shrinkToFit="1"/>
    </xf>
    <xf numFmtId="176" fontId="32" fillId="0" borderId="0" xfId="2" applyNumberFormat="1" applyBorder="1" applyAlignment="1">
      <alignment vertical="center" wrapText="1" shrinkToFit="1"/>
    </xf>
    <xf numFmtId="176" fontId="35" fillId="0" borderId="0" xfId="2" applyNumberFormat="1" applyFont="1" applyBorder="1" applyAlignment="1">
      <alignment vertical="center" wrapText="1" shrinkToFit="1"/>
    </xf>
    <xf numFmtId="176" fontId="33" fillId="0" borderId="0" xfId="2" applyNumberFormat="1" applyFont="1" applyBorder="1" applyAlignment="1">
      <alignment vertical="center" wrapText="1" shrinkToFit="1"/>
    </xf>
    <xf numFmtId="176" fontId="33" fillId="0" borderId="0" xfId="2" applyNumberFormat="1" applyFont="1" applyBorder="1" applyAlignment="1">
      <alignment horizontal="center" vertical="center" wrapText="1" shrinkToFit="1"/>
    </xf>
    <xf numFmtId="176" fontId="32" fillId="0" borderId="0" xfId="2" applyNumberFormat="1" applyBorder="1" applyAlignment="1" applyProtection="1">
      <alignment horizontal="center" vertical="center" shrinkToFit="1"/>
      <protection locked="0"/>
    </xf>
    <xf numFmtId="176" fontId="32" fillId="0" borderId="0" xfId="2" applyNumberForma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4"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center" vertical="center" shrinkToFit="1"/>
      <protection locked="0"/>
    </xf>
    <xf numFmtId="176" fontId="32" fillId="2" borderId="0" xfId="2" applyNumberFormat="1" applyFill="1" applyBorder="1" applyAlignment="1" applyProtection="1">
      <alignment horizontal="center" vertical="center" shrinkToFit="1"/>
      <protection locked="0"/>
    </xf>
    <xf numFmtId="176" fontId="32"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0" fillId="0" borderId="0" xfId="0" applyFont="1" applyBorder="1"/>
    <xf numFmtId="0" fontId="46" fillId="0" borderId="0" xfId="7" applyFont="1" applyBorder="1" applyAlignment="1">
      <alignment vertical="center" wrapText="1"/>
    </xf>
    <xf numFmtId="0" fontId="50" fillId="0" borderId="0" xfId="0" applyFont="1" applyBorder="1"/>
    <xf numFmtId="0" fontId="47" fillId="0" borderId="0" xfId="7" applyFont="1" applyBorder="1" applyAlignment="1">
      <alignment vertical="center"/>
    </xf>
    <xf numFmtId="178" fontId="46" fillId="0" borderId="0" xfId="1" applyNumberFormat="1" applyFont="1" applyBorder="1" applyAlignment="1">
      <alignment horizontal="right" vertical="center"/>
    </xf>
    <xf numFmtId="178" fontId="46" fillId="6" borderId="0" xfId="1" applyNumberFormat="1" applyFont="1" applyFill="1" applyBorder="1" applyAlignment="1">
      <alignment horizontal="right" vertical="center"/>
    </xf>
    <xf numFmtId="0" fontId="46" fillId="0" borderId="0" xfId="7" applyFont="1" applyBorder="1" applyAlignment="1">
      <alignment vertical="center"/>
    </xf>
    <xf numFmtId="0" fontId="47" fillId="0" borderId="0" xfId="7" applyFont="1" applyBorder="1" applyAlignment="1">
      <alignment vertical="center" wrapText="1"/>
    </xf>
    <xf numFmtId="178" fontId="36" fillId="0" borderId="0" xfId="1" applyNumberFormat="1" applyFont="1" applyBorder="1" applyAlignment="1">
      <alignment horizontal="right" vertical="center"/>
    </xf>
    <xf numFmtId="178" fontId="46"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3" fillId="0" borderId="1" xfId="9" applyNumberFormat="1" applyFont="1" applyBorder="1" applyAlignment="1">
      <alignment horizontal="left" vertical="center"/>
    </xf>
    <xf numFmtId="0" fontId="33" fillId="0" borderId="2" xfId="9" applyFont="1" applyBorder="1" applyAlignment="1">
      <alignment horizontal="right" vertical="center"/>
    </xf>
    <xf numFmtId="49" fontId="33" fillId="0" borderId="2" xfId="9" applyNumberFormat="1" applyFont="1" applyBorder="1" applyAlignment="1">
      <alignment horizontal="center" vertical="center"/>
    </xf>
    <xf numFmtId="0" fontId="33" fillId="0" borderId="3" xfId="10" applyFont="1" applyBorder="1" applyAlignment="1">
      <alignment horizontal="center" vertical="center"/>
    </xf>
    <xf numFmtId="0" fontId="33" fillId="0" borderId="4" xfId="9" applyFont="1" applyBorder="1" applyAlignment="1">
      <alignment horizontal="left" vertical="center"/>
    </xf>
    <xf numFmtId="0" fontId="33" fillId="0" borderId="0" xfId="9" applyFont="1" applyAlignment="1">
      <alignment horizontal="right" vertical="center"/>
    </xf>
    <xf numFmtId="177" fontId="33" fillId="0" borderId="0" xfId="9" applyNumberFormat="1" applyFont="1" applyAlignment="1">
      <alignment horizontal="left" vertical="center"/>
    </xf>
    <xf numFmtId="179" fontId="35" fillId="0" borderId="5" xfId="10" applyNumberFormat="1" applyFont="1" applyBorder="1" applyAlignment="1">
      <alignment horizontal="left" vertical="center" shrinkToFit="1"/>
    </xf>
    <xf numFmtId="178" fontId="33" fillId="0" borderId="6" xfId="9" applyNumberFormat="1" applyFont="1" applyBorder="1" applyAlignment="1">
      <alignment horizontal="left" vertical="center"/>
    </xf>
    <xf numFmtId="0" fontId="33" fillId="0" borderId="7" xfId="9" applyFont="1" applyBorder="1" applyAlignment="1">
      <alignment horizontal="right" vertical="center"/>
    </xf>
    <xf numFmtId="177" fontId="33" fillId="0" borderId="7" xfId="9" applyNumberFormat="1" applyFont="1" applyBorder="1" applyAlignment="1">
      <alignment horizontal="left" vertical="center"/>
    </xf>
    <xf numFmtId="179" fontId="35" fillId="0" borderId="8" xfId="10" applyNumberFormat="1" applyFont="1" applyBorder="1" applyAlignment="1">
      <alignment horizontal="left" vertical="center" shrinkToFit="1"/>
    </xf>
    <xf numFmtId="0" fontId="53" fillId="0" borderId="9" xfId="11" applyFont="1" applyBorder="1">
      <alignment vertical="center"/>
    </xf>
    <xf numFmtId="0" fontId="33" fillId="0" borderId="9" xfId="11" applyFont="1" applyBorder="1" applyAlignment="1">
      <alignment horizontal="right" vertical="center"/>
    </xf>
    <xf numFmtId="0" fontId="35" fillId="0" borderId="9" xfId="11" applyFont="1" applyBorder="1">
      <alignment vertical="center"/>
    </xf>
    <xf numFmtId="0" fontId="35" fillId="0" borderId="13" xfId="11" applyFont="1" applyBorder="1" applyAlignment="1">
      <alignment horizontal="center" vertical="center"/>
    </xf>
    <xf numFmtId="0" fontId="35" fillId="0" borderId="14" xfId="11" applyFont="1" applyBorder="1" applyAlignment="1">
      <alignment horizontal="center" vertical="center" wrapText="1"/>
    </xf>
    <xf numFmtId="0" fontId="35" fillId="0" borderId="14" xfId="11" applyFont="1" applyBorder="1" applyAlignment="1" applyProtection="1">
      <alignment horizontal="center" vertical="center" wrapText="1"/>
      <protection locked="0"/>
    </xf>
    <xf numFmtId="0" fontId="35" fillId="0" borderId="13" xfId="11" applyFont="1" applyBorder="1" applyAlignment="1" applyProtection="1">
      <alignment horizontal="center"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lignment horizontal="center" vertical="center" wrapText="1"/>
    </xf>
    <xf numFmtId="43" fontId="35" fillId="0" borderId="13" xfId="11" applyNumberFormat="1" applyFont="1" applyBorder="1" applyAlignment="1">
      <alignment horizontal="center" vertical="center"/>
    </xf>
    <xf numFmtId="43" fontId="39" fillId="8" borderId="15" xfId="1" applyFont="1" applyFill="1" applyBorder="1" applyAlignment="1" applyProtection="1">
      <alignment vertical="center"/>
      <protection locked="0"/>
    </xf>
    <xf numFmtId="0" fontId="35" fillId="0" borderId="13" xfId="11" applyFont="1" applyBorder="1">
      <alignment vertical="center"/>
    </xf>
    <xf numFmtId="0" fontId="35" fillId="0" borderId="16" xfId="11" applyFont="1" applyBorder="1" applyAlignment="1">
      <alignment horizontal="left" vertical="center"/>
    </xf>
    <xf numFmtId="0" fontId="35" fillId="0" borderId="19" xfId="11" applyFont="1" applyBorder="1" applyAlignment="1">
      <alignment horizontal="left" vertical="center"/>
    </xf>
    <xf numFmtId="0" fontId="35" fillId="0" borderId="13" xfId="11" applyFont="1" applyBorder="1" applyAlignment="1">
      <alignment horizontal="center" vertical="center" wrapText="1"/>
    </xf>
    <xf numFmtId="0" fontId="35" fillId="0" borderId="14" xfId="11" applyFont="1" applyBorder="1" applyAlignment="1">
      <alignment horizontal="center" vertical="center"/>
    </xf>
    <xf numFmtId="177" fontId="39" fillId="0" borderId="14" xfId="11" applyNumberFormat="1" applyFont="1" applyBorder="1">
      <alignment vertical="center"/>
    </xf>
    <xf numFmtId="0" fontId="33" fillId="0" borderId="13" xfId="11" applyFont="1" applyBorder="1">
      <alignment vertical="center"/>
    </xf>
    <xf numFmtId="177" fontId="54" fillId="0" borderId="14" xfId="11" applyNumberFormat="1" applyFont="1" applyBorder="1" applyProtection="1">
      <alignment vertical="center"/>
      <protection locked="0"/>
    </xf>
    <xf numFmtId="0" fontId="35" fillId="0" borderId="15" xfId="11" applyFont="1" applyBorder="1" applyAlignment="1">
      <alignment horizontal="center" vertical="center"/>
    </xf>
    <xf numFmtId="43" fontId="35" fillId="0" borderId="14" xfId="11" applyNumberFormat="1" applyFont="1" applyBorder="1" applyAlignment="1">
      <alignment horizontal="center" vertical="center"/>
    </xf>
    <xf numFmtId="9" fontId="35" fillId="0" borderId="14" xfId="11" applyNumberFormat="1" applyFont="1" applyBorder="1" applyAlignment="1">
      <alignment horizontal="center" vertical="center"/>
    </xf>
    <xf numFmtId="0" fontId="35" fillId="0" borderId="14" xfId="11" applyFont="1" applyBorder="1">
      <alignment vertical="center"/>
    </xf>
    <xf numFmtId="43" fontId="33" fillId="0" borderId="14" xfId="11" applyNumberFormat="1" applyFont="1" applyBorder="1">
      <alignment vertical="center"/>
    </xf>
    <xf numFmtId="0" fontId="33" fillId="0" borderId="14" xfId="11" applyFont="1" applyBorder="1">
      <alignment vertical="center"/>
    </xf>
    <xf numFmtId="0" fontId="33" fillId="0" borderId="13" xfId="11" applyFont="1" applyBorder="1" applyAlignment="1">
      <alignment horizontal="center" vertical="center"/>
    </xf>
    <xf numFmtId="43" fontId="54" fillId="8" borderId="14" xfId="11" applyNumberFormat="1" applyFont="1" applyFill="1" applyBorder="1" applyAlignment="1">
      <alignment horizontal="center" vertical="center" wrapText="1"/>
    </xf>
    <xf numFmtId="43" fontId="39" fillId="8" borderId="14" xfId="11" applyNumberFormat="1" applyFont="1" applyFill="1" applyBorder="1">
      <alignment vertical="center"/>
    </xf>
    <xf numFmtId="0" fontId="39" fillId="0" borderId="14" xfId="11" applyFont="1" applyBorder="1">
      <alignment vertical="center"/>
    </xf>
    <xf numFmtId="9" fontId="35" fillId="0" borderId="13" xfId="11" applyNumberFormat="1" applyFont="1" applyBorder="1" applyAlignment="1">
      <alignment horizontal="center" vertical="center" wrapText="1"/>
    </xf>
    <xf numFmtId="9" fontId="35" fillId="0" borderId="14" xfId="11" applyNumberFormat="1" applyFont="1" applyBorder="1">
      <alignment vertical="center"/>
    </xf>
    <xf numFmtId="0" fontId="35" fillId="0" borderId="13" xfId="11" applyFont="1" applyBorder="1" applyAlignment="1">
      <alignment horizontal="left" vertical="center"/>
    </xf>
    <xf numFmtId="0" fontId="56" fillId="0" borderId="14" xfId="11" applyFont="1" applyBorder="1" applyAlignment="1">
      <alignment horizontal="left" vertical="center"/>
    </xf>
    <xf numFmtId="177" fontId="39" fillId="8" borderId="14" xfId="11" applyNumberFormat="1" applyFont="1" applyFill="1" applyBorder="1">
      <alignment vertical="center"/>
    </xf>
    <xf numFmtId="0" fontId="35" fillId="0" borderId="21" xfId="11" applyFont="1" applyBorder="1">
      <alignment vertical="center"/>
    </xf>
    <xf numFmtId="0" fontId="53" fillId="0" borderId="22" xfId="11" applyFont="1" applyBorder="1" applyAlignment="1">
      <alignment horizontal="right" vertical="center"/>
    </xf>
    <xf numFmtId="0" fontId="35" fillId="0" borderId="0" xfId="0" applyFont="1" applyAlignment="1">
      <alignment horizontal="left" vertical="center"/>
    </xf>
    <xf numFmtId="0" fontId="35" fillId="0" borderId="0" xfId="0" applyFont="1" applyAlignment="1">
      <alignment vertical="center"/>
    </xf>
    <xf numFmtId="0" fontId="35" fillId="0" borderId="0" xfId="11" applyFont="1">
      <alignment vertical="center"/>
    </xf>
    <xf numFmtId="0" fontId="33" fillId="0" borderId="2" xfId="0" applyFont="1" applyBorder="1" applyAlignment="1">
      <alignment horizontal="center" vertical="center" wrapText="1"/>
    </xf>
    <xf numFmtId="0" fontId="33" fillId="0" borderId="25" xfId="0" applyFont="1" applyBorder="1" applyAlignment="1">
      <alignment horizontal="right" vertical="center" wrapText="1"/>
    </xf>
    <xf numFmtId="14" fontId="35" fillId="0" borderId="3" xfId="11" applyNumberFormat="1" applyFont="1" applyBorder="1">
      <alignment vertical="center"/>
    </xf>
    <xf numFmtId="0" fontId="33" fillId="0" borderId="7" xfId="0" applyFont="1" applyBorder="1" applyAlignment="1">
      <alignment horizontal="center" vertical="center" wrapText="1"/>
    </xf>
    <xf numFmtId="0" fontId="33" fillId="0" borderId="27" xfId="0" applyFont="1" applyBorder="1" applyAlignment="1">
      <alignment horizontal="right" vertical="center" wrapText="1"/>
    </xf>
    <xf numFmtId="14" fontId="35" fillId="0" borderId="8" xfId="11" applyNumberFormat="1" applyFont="1" applyBorder="1">
      <alignment vertical="center"/>
    </xf>
    <xf numFmtId="0" fontId="32" fillId="9" borderId="14" xfId="11" applyFont="1" applyFill="1" applyBorder="1" applyAlignment="1">
      <alignment horizontal="center" vertical="center"/>
    </xf>
    <xf numFmtId="0" fontId="35" fillId="0" borderId="28" xfId="11" applyFont="1" applyBorder="1" applyAlignment="1">
      <alignment horizontal="center" vertical="center" wrapText="1"/>
    </xf>
    <xf numFmtId="0" fontId="35" fillId="0" borderId="0" xfId="11" applyFont="1" applyAlignment="1">
      <alignment horizontal="center" vertical="center"/>
    </xf>
    <xf numFmtId="0" fontId="35"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5" fillId="0" borderId="28" xfId="1" applyFont="1" applyFill="1" applyBorder="1" applyAlignment="1" applyProtection="1">
      <alignment vertical="center"/>
      <protection locked="0"/>
    </xf>
    <xf numFmtId="43" fontId="35"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5" fillId="0" borderId="0" xfId="8" applyNumberFormat="1" applyFont="1" applyFill="1" applyBorder="1" applyAlignment="1" applyProtection="1">
      <alignment vertical="center"/>
      <protection locked="0"/>
    </xf>
    <xf numFmtId="9" fontId="35"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2"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2"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3"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65" fillId="0" borderId="0" xfId="0" applyFont="1" applyBorder="1"/>
    <xf numFmtId="0" fontId="51" fillId="12" borderId="0" xfId="0" applyFont="1" applyFill="1" applyBorder="1"/>
    <xf numFmtId="43" fontId="0" fillId="12" borderId="0" xfId="1" applyFont="1" applyFill="1" applyBorder="1" applyAlignment="1"/>
    <xf numFmtId="0" fontId="51"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1" fillId="0" borderId="0" xfId="0" applyFont="1"/>
    <xf numFmtId="0" fontId="51" fillId="0" borderId="0" xfId="0" applyFont="1" applyAlignment="1">
      <alignment horizontal="center"/>
    </xf>
    <xf numFmtId="43" fontId="51"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1" fillId="0" borderId="0" xfId="0" applyFont="1" applyAlignment="1">
      <alignment wrapText="1"/>
    </xf>
    <xf numFmtId="0" fontId="30" fillId="0" borderId="0" xfId="0" applyFont="1"/>
    <xf numFmtId="43" fontId="30"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6" fillId="2" borderId="0" xfId="0" applyFont="1" applyFill="1"/>
    <xf numFmtId="43" fontId="0" fillId="3" borderId="0" xfId="1" applyFont="1" applyFill="1" applyAlignment="1"/>
    <xf numFmtId="43" fontId="5" fillId="0" borderId="0" xfId="1" applyFont="1" applyFill="1" applyBorder="1" applyAlignment="1">
      <alignment horizontal="right" vertical="center"/>
    </xf>
    <xf numFmtId="0" fontId="65"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1" fillId="0" borderId="0" xfId="1" applyFont="1" applyAlignment="1">
      <alignment horizontal="center" wrapText="1"/>
    </xf>
    <xf numFmtId="43" fontId="51" fillId="0" borderId="0" xfId="1" applyFont="1" applyAlignment="1">
      <alignment wrapText="1"/>
    </xf>
    <xf numFmtId="0" fontId="23"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0" fontId="27" fillId="3" borderId="0" xfId="0" applyFont="1" applyFill="1" applyBorder="1" applyAlignment="1">
      <alignment horizontal="left" vertical="center" wrapText="1"/>
    </xf>
    <xf numFmtId="43" fontId="22" fillId="3" borderId="0" xfId="1" applyFont="1" applyFill="1" applyBorder="1" applyAlignment="1">
      <alignment horizontal="right" vertical="center"/>
    </xf>
    <xf numFmtId="43" fontId="27" fillId="0" borderId="0" xfId="1" applyFont="1" applyBorder="1" applyAlignment="1">
      <alignment horizontal="right" vertical="center"/>
    </xf>
    <xf numFmtId="43" fontId="51" fillId="0" borderId="0" xfId="1" applyFont="1" applyAlignment="1">
      <alignment horizontal="center" vertical="center" wrapText="1"/>
    </xf>
    <xf numFmtId="0" fontId="51" fillId="0" borderId="0" xfId="0" applyFont="1" applyAlignment="1">
      <alignment horizontal="center" vertical="center"/>
    </xf>
    <xf numFmtId="43" fontId="51"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1" fillId="0" borderId="0" xfId="1" applyFont="1" applyAlignment="1">
      <alignment vertical="center" wrapText="1"/>
    </xf>
    <xf numFmtId="0" fontId="51" fillId="0" borderId="0" xfId="0" applyFont="1" applyAlignment="1">
      <alignment vertical="center"/>
    </xf>
    <xf numFmtId="43" fontId="51"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4" fillId="3" borderId="0" xfId="0" applyFont="1" applyFill="1" applyBorder="1" applyAlignment="1">
      <alignment horizontal="justify" vertical="center" wrapText="1"/>
    </xf>
    <xf numFmtId="0" fontId="22" fillId="3" borderId="0" xfId="0" applyFont="1" applyFill="1" applyBorder="1" applyAlignment="1">
      <alignment horizontal="justify" vertical="center" wrapText="1"/>
    </xf>
    <xf numFmtId="0" fontId="25" fillId="3" borderId="0" xfId="0" applyFont="1" applyFill="1" applyBorder="1" applyAlignment="1">
      <alignment vertical="center" wrapText="1"/>
    </xf>
    <xf numFmtId="0" fontId="25"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1" fillId="0" borderId="0" xfId="0" applyFont="1" applyFill="1" applyBorder="1"/>
    <xf numFmtId="43" fontId="51" fillId="0" borderId="0" xfId="1" applyFont="1" applyBorder="1" applyAlignment="1"/>
    <xf numFmtId="0" fontId="51" fillId="0" borderId="0" xfId="0" applyFont="1" applyBorder="1"/>
    <xf numFmtId="0" fontId="4" fillId="2" borderId="0" xfId="0" applyFont="1" applyFill="1" applyBorder="1" applyAlignment="1">
      <alignment horizontal="justify" vertical="center" wrapText="1"/>
    </xf>
    <xf numFmtId="0" fontId="46" fillId="0" borderId="0" xfId="0" applyFont="1" applyFill="1" applyBorder="1" applyAlignment="1">
      <alignment vertical="center" wrapText="1"/>
    </xf>
    <xf numFmtId="0" fontId="46" fillId="0" borderId="0" xfId="0" applyFont="1" applyFill="1" applyBorder="1" applyAlignment="1"/>
    <xf numFmtId="176" fontId="46" fillId="0" borderId="0" xfId="0" applyNumberFormat="1" applyFont="1" applyFill="1" applyBorder="1" applyAlignment="1">
      <alignment vertical="center"/>
    </xf>
    <xf numFmtId="0" fontId="46" fillId="0" borderId="0" xfId="0" applyFont="1" applyFill="1" applyBorder="1" applyAlignment="1">
      <alignment wrapText="1"/>
    </xf>
    <xf numFmtId="176" fontId="46" fillId="0" borderId="0" xfId="0" applyNumberFormat="1" applyFont="1" applyFill="1" applyBorder="1" applyAlignment="1">
      <alignment wrapText="1"/>
    </xf>
    <xf numFmtId="0" fontId="46"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7" fillId="0" borderId="0" xfId="0" applyFont="1" applyFill="1" applyBorder="1" applyAlignment="1">
      <alignment vertical="center" wrapText="1"/>
    </xf>
    <xf numFmtId="176" fontId="47" fillId="0" borderId="0" xfId="0" applyNumberFormat="1" applyFont="1" applyFill="1" applyBorder="1" applyAlignment="1">
      <alignment vertical="center"/>
    </xf>
    <xf numFmtId="0" fontId="47"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4" fillId="3" borderId="0" xfId="0" applyFont="1" applyFill="1" applyBorder="1" applyAlignment="1">
      <alignment horizontal="justify" vertical="center" wrapText="1"/>
    </xf>
    <xf numFmtId="0" fontId="64" fillId="3" borderId="0" xfId="0" applyFont="1" applyFill="1" applyBorder="1" applyAlignment="1">
      <alignment horizontal="right" vertical="center" wrapText="1"/>
    </xf>
    <xf numFmtId="3" fontId="0" fillId="3" borderId="0" xfId="0" applyNumberFormat="1" applyFill="1"/>
    <xf numFmtId="0" fontId="62"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6"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2"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1"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6"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33" fillId="0" borderId="0" xfId="14" applyFont="1" applyBorder="1" applyAlignment="1">
      <alignment vertical="center" wrapText="1"/>
    </xf>
    <xf numFmtId="0" fontId="70" fillId="0" borderId="0" xfId="14" applyFont="1" applyBorder="1" applyAlignment="1">
      <alignment vertical="center"/>
    </xf>
    <xf numFmtId="43" fontId="68" fillId="0" borderId="0" xfId="1" applyFont="1" applyBorder="1" applyAlignment="1">
      <alignment horizontal="center" vertical="center" wrapText="1"/>
    </xf>
    <xf numFmtId="43" fontId="69" fillId="0" borderId="0" xfId="1" applyFont="1" applyBorder="1" applyAlignment="1">
      <alignment vertical="center" wrapText="1"/>
    </xf>
    <xf numFmtId="43" fontId="32" fillId="0" borderId="0" xfId="1" applyFont="1" applyBorder="1" applyAlignment="1">
      <alignment horizontal="right" vertical="center"/>
    </xf>
    <xf numFmtId="43" fontId="32" fillId="0" borderId="0" xfId="1" applyFont="1" applyBorder="1" applyAlignment="1">
      <alignment vertical="center"/>
    </xf>
    <xf numFmtId="43" fontId="32" fillId="0" borderId="0" xfId="1" applyFont="1" applyBorder="1" applyAlignment="1">
      <alignment horizontal="center" vertical="center"/>
    </xf>
    <xf numFmtId="0" fontId="68" fillId="0" borderId="0" xfId="14" applyFont="1" applyBorder="1" applyAlignment="1">
      <alignment vertical="center"/>
    </xf>
    <xf numFmtId="0" fontId="35" fillId="0" borderId="0" xfId="14" applyFont="1" applyBorder="1" applyAlignment="1">
      <alignment vertical="center" wrapText="1"/>
    </xf>
    <xf numFmtId="43" fontId="35" fillId="0" borderId="0" xfId="1" applyFont="1" applyBorder="1" applyAlignment="1">
      <alignment vertical="center" wrapText="1"/>
    </xf>
    <xf numFmtId="43" fontId="35" fillId="0" borderId="0" xfId="1" applyFont="1" applyBorder="1" applyAlignment="1">
      <alignment horizontal="center" vertical="center" wrapText="1"/>
    </xf>
    <xf numFmtId="43" fontId="35" fillId="0" borderId="0" xfId="1" applyFont="1" applyFill="1" applyBorder="1" applyAlignment="1">
      <alignment horizontal="center" vertical="center" wrapText="1"/>
    </xf>
    <xf numFmtId="176" fontId="37" fillId="0" borderId="0" xfId="2" applyNumberFormat="1" applyFont="1" applyBorder="1" applyAlignment="1">
      <alignment vertical="center"/>
    </xf>
    <xf numFmtId="43" fontId="32" fillId="3" borderId="0" xfId="1" applyFont="1" applyFill="1" applyBorder="1" applyAlignment="1">
      <alignment horizontal="right" vertical="center"/>
    </xf>
    <xf numFmtId="43" fontId="32" fillId="3" borderId="0" xfId="1" applyFont="1" applyFill="1" applyBorder="1" applyAlignment="1">
      <alignment horizontal="center" vertical="center"/>
    </xf>
    <xf numFmtId="43" fontId="68" fillId="3" borderId="0" xfId="1" applyFont="1" applyFill="1" applyBorder="1" applyAlignment="1">
      <alignment horizontal="center" vertical="center" wrapText="1"/>
    </xf>
    <xf numFmtId="43" fontId="32" fillId="3" borderId="0" xfId="1" applyFont="1" applyFill="1" applyBorder="1" applyAlignment="1">
      <alignment horizontal="right" vertical="center" wrapText="1"/>
    </xf>
    <xf numFmtId="43" fontId="32" fillId="0" borderId="0" xfId="1" applyFont="1" applyFill="1" applyBorder="1" applyAlignment="1">
      <alignment horizontal="right" vertical="center" wrapText="1"/>
    </xf>
    <xf numFmtId="43" fontId="32" fillId="0" borderId="0" xfId="1" applyFont="1" applyFill="1" applyBorder="1" applyAlignment="1">
      <alignment horizontal="right" vertical="center"/>
    </xf>
    <xf numFmtId="43" fontId="68" fillId="0" borderId="0" xfId="1" applyFont="1" applyFill="1" applyBorder="1" applyAlignment="1">
      <alignment horizontal="center" vertical="center" wrapText="1"/>
    </xf>
    <xf numFmtId="43" fontId="32" fillId="0" borderId="0" xfId="1" applyFont="1" applyFill="1" applyBorder="1" applyAlignment="1">
      <alignment vertical="center"/>
    </xf>
    <xf numFmtId="0" fontId="70" fillId="0" borderId="0" xfId="14" applyFont="1" applyFill="1" applyBorder="1" applyAlignment="1">
      <alignment vertical="center"/>
    </xf>
    <xf numFmtId="0" fontId="0" fillId="13" borderId="0" xfId="0" applyFill="1"/>
    <xf numFmtId="43" fontId="0" fillId="13" borderId="0" xfId="1" applyFont="1" applyFill="1" applyAlignment="1"/>
    <xf numFmtId="43" fontId="35" fillId="13" borderId="0" xfId="1" applyFont="1" applyFill="1" applyBorder="1" applyAlignment="1">
      <alignment horizontal="center" vertical="center" wrapText="1"/>
    </xf>
    <xf numFmtId="43" fontId="0" fillId="13" borderId="0" xfId="0" applyNumberFormat="1" applyFill="1"/>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2" fillId="0" borderId="14" xfId="17" applyFont="1" applyFill="1" applyBorder="1" applyAlignment="1" applyProtection="1">
      <alignment vertical="center"/>
    </xf>
    <xf numFmtId="43" fontId="72" fillId="0" borderId="0" xfId="1" applyFont="1" applyFill="1" applyBorder="1" applyAlignment="1" applyProtection="1">
      <alignment vertical="center"/>
    </xf>
    <xf numFmtId="43" fontId="32" fillId="0" borderId="14" xfId="18" applyFont="1" applyFill="1" applyBorder="1" applyAlignment="1" applyProtection="1">
      <alignment vertical="center"/>
    </xf>
    <xf numFmtId="181" fontId="32" fillId="0" borderId="14" xfId="18" applyNumberFormat="1" applyFont="1" applyFill="1" applyBorder="1" applyAlignment="1" applyProtection="1">
      <alignment vertical="center"/>
    </xf>
    <xf numFmtId="4" fontId="73" fillId="0" borderId="0" xfId="18" applyNumberFormat="1" applyFont="1" applyFill="1" applyBorder="1">
      <alignment vertical="center"/>
    </xf>
    <xf numFmtId="178" fontId="32" fillId="0" borderId="14" xfId="17" applyNumberFormat="1" applyFont="1" applyFill="1" applyBorder="1" applyAlignment="1" applyProtection="1">
      <alignment vertical="center"/>
    </xf>
    <xf numFmtId="178" fontId="32" fillId="0" borderId="14" xfId="17" applyNumberFormat="1" applyFont="1" applyFill="1" applyBorder="1" applyAlignment="1" applyProtection="1">
      <alignment vertical="center"/>
      <protection locked="0"/>
    </xf>
    <xf numFmtId="178" fontId="74" fillId="0" borderId="14" xfId="17" applyNumberFormat="1" applyFont="1" applyFill="1" applyBorder="1" applyAlignment="1" applyProtection="1">
      <alignment vertical="center"/>
      <protection locked="0"/>
    </xf>
    <xf numFmtId="178" fontId="32" fillId="0" borderId="35" xfId="17" applyNumberFormat="1" applyFont="1" applyFill="1" applyBorder="1" applyAlignment="1" applyProtection="1">
      <alignment vertical="center"/>
    </xf>
    <xf numFmtId="178" fontId="74" fillId="0" borderId="14" xfId="17" applyNumberFormat="1" applyFont="1" applyFill="1" applyBorder="1" applyAlignment="1" applyProtection="1">
      <alignment vertical="center"/>
    </xf>
    <xf numFmtId="43" fontId="75" fillId="0" borderId="14" xfId="1" applyFont="1" applyFill="1" applyBorder="1" applyProtection="1">
      <alignment vertical="center"/>
    </xf>
    <xf numFmtId="10" fontId="75" fillId="0" borderId="14" xfId="1" applyNumberFormat="1" applyFont="1" applyFill="1" applyBorder="1" applyProtection="1">
      <alignment vertical="center"/>
    </xf>
    <xf numFmtId="181" fontId="32" fillId="3" borderId="14" xfId="17" applyNumberFormat="1" applyFont="1" applyFill="1" applyBorder="1" applyAlignment="1" applyProtection="1">
      <alignment vertical="center"/>
      <protection locked="0"/>
    </xf>
    <xf numFmtId="0" fontId="33" fillId="0" borderId="14" xfId="16" applyFont="1" applyFill="1" applyBorder="1" applyAlignment="1">
      <alignment horizontal="center" vertical="center"/>
    </xf>
    <xf numFmtId="14" fontId="72" fillId="0" borderId="0" xfId="20" applyNumberFormat="1" applyFont="1" applyFill="1" applyAlignment="1">
      <alignment vertical="center"/>
    </xf>
    <xf numFmtId="0" fontId="34" fillId="0" borderId="0" xfId="16" applyFont="1" applyFill="1" applyAlignment="1">
      <alignment horizontal="center" vertical="center"/>
    </xf>
    <xf numFmtId="0" fontId="35" fillId="0" borderId="14" xfId="16" applyFont="1" applyFill="1" applyBorder="1" applyAlignment="1">
      <alignment horizontal="left" vertical="center"/>
    </xf>
    <xf numFmtId="43" fontId="32" fillId="0" borderId="0" xfId="16" applyNumberFormat="1" applyFont="1" applyFill="1">
      <alignment vertical="center"/>
    </xf>
    <xf numFmtId="0" fontId="35" fillId="0" borderId="14" xfId="16" applyFont="1" applyFill="1" applyBorder="1">
      <alignment vertical="center"/>
    </xf>
    <xf numFmtId="9" fontId="32" fillId="0" borderId="14" xfId="16" applyNumberFormat="1" applyFont="1" applyFill="1" applyBorder="1" applyAlignment="1" applyProtection="1">
      <alignment horizontal="center" vertical="center"/>
      <protection locked="0"/>
    </xf>
    <xf numFmtId="0" fontId="32" fillId="0" borderId="14" xfId="16" applyFont="1" applyFill="1" applyBorder="1">
      <alignment vertical="center"/>
    </xf>
    <xf numFmtId="0" fontId="32" fillId="0" borderId="0" xfId="16" applyFont="1" applyFill="1">
      <alignment vertical="center"/>
    </xf>
    <xf numFmtId="0" fontId="33" fillId="0" borderId="31" xfId="16" applyFont="1" applyFill="1" applyBorder="1" applyAlignment="1">
      <alignment horizontal="center" vertical="center"/>
    </xf>
    <xf numFmtId="0" fontId="33" fillId="0" borderId="32" xfId="16" applyFont="1" applyFill="1" applyBorder="1" applyAlignment="1">
      <alignment horizontal="center" vertical="center"/>
    </xf>
    <xf numFmtId="0" fontId="35" fillId="0" borderId="13" xfId="16" applyFont="1" applyFill="1" applyBorder="1" applyAlignment="1">
      <alignment horizontal="left" vertical="center"/>
    </xf>
    <xf numFmtId="0" fontId="35" fillId="0" borderId="34" xfId="16" applyFont="1" applyFill="1" applyBorder="1" applyAlignment="1">
      <alignment horizontal="left" vertical="center"/>
    </xf>
    <xf numFmtId="0" fontId="35" fillId="0" borderId="35" xfId="16" applyFont="1" applyFill="1" applyBorder="1">
      <alignment vertical="center"/>
    </xf>
    <xf numFmtId="0" fontId="33" fillId="0" borderId="37" xfId="16" applyFont="1" applyFill="1" applyBorder="1" applyAlignment="1">
      <alignment horizontal="center" vertical="center"/>
    </xf>
    <xf numFmtId="0" fontId="33" fillId="0" borderId="38" xfId="16" applyFont="1" applyFill="1" applyBorder="1" applyAlignment="1">
      <alignment horizontal="center" vertical="center"/>
    </xf>
    <xf numFmtId="0" fontId="33" fillId="0" borderId="40" xfId="16" applyFont="1" applyFill="1" applyBorder="1" applyAlignment="1">
      <alignment horizontal="center" vertical="center"/>
    </xf>
    <xf numFmtId="0" fontId="67" fillId="0" borderId="13" xfId="16" applyFont="1" applyFill="1" applyBorder="1" applyAlignment="1">
      <alignment horizontal="left" vertical="center"/>
    </xf>
    <xf numFmtId="0" fontId="67" fillId="0" borderId="14" xfId="16" applyFont="1" applyFill="1" applyBorder="1">
      <alignment vertical="center"/>
    </xf>
    <xf numFmtId="0" fontId="36" fillId="0" borderId="14" xfId="16" applyFont="1" applyFill="1" applyBorder="1">
      <alignment vertical="center"/>
    </xf>
    <xf numFmtId="0" fontId="75" fillId="0" borderId="14" xfId="16" applyFont="1" applyFill="1" applyBorder="1">
      <alignment vertical="center"/>
    </xf>
    <xf numFmtId="43" fontId="75" fillId="0" borderId="14" xfId="16" applyNumberFormat="1" applyFont="1" applyFill="1" applyBorder="1">
      <alignment vertical="center"/>
    </xf>
    <xf numFmtId="10" fontId="75" fillId="0" borderId="14" xfId="16" applyNumberFormat="1" applyFont="1" applyFill="1" applyBorder="1">
      <alignment vertical="center"/>
    </xf>
    <xf numFmtId="178" fontId="32" fillId="3" borderId="14" xfId="17" applyNumberFormat="1" applyFont="1" applyFill="1" applyBorder="1" applyAlignment="1" applyProtection="1">
      <alignment vertical="center"/>
      <protection locked="0"/>
    </xf>
    <xf numFmtId="43" fontId="32" fillId="3" borderId="14" xfId="18" applyFont="1" applyFill="1" applyBorder="1" applyAlignment="1" applyProtection="1">
      <alignment vertical="center"/>
      <protection locked="0"/>
    </xf>
    <xf numFmtId="4" fontId="32" fillId="3" borderId="14" xfId="17" applyNumberFormat="1" applyFont="1" applyFill="1" applyBorder="1" applyAlignment="1" applyProtection="1">
      <alignment vertical="center"/>
      <protection locked="0"/>
    </xf>
    <xf numFmtId="178" fontId="74" fillId="3" borderId="14" xfId="17" applyNumberFormat="1" applyFont="1" applyFill="1" applyBorder="1" applyAlignment="1" applyProtection="1">
      <alignment vertical="center"/>
      <protection locked="0"/>
    </xf>
    <xf numFmtId="43" fontId="32" fillId="3" borderId="35" xfId="18" applyFont="1" applyFill="1" applyBorder="1" applyAlignment="1" applyProtection="1">
      <alignment vertical="center"/>
      <protection locked="0"/>
    </xf>
    <xf numFmtId="0" fontId="33" fillId="3" borderId="40" xfId="16" applyFont="1" applyFill="1" applyBorder="1" applyAlignment="1">
      <alignment horizontal="center" vertical="center"/>
    </xf>
    <xf numFmtId="0" fontId="36" fillId="0" borderId="13" xfId="16" applyFont="1" applyFill="1" applyBorder="1">
      <alignment vertical="center"/>
    </xf>
    <xf numFmtId="0" fontId="75" fillId="0" borderId="15" xfId="16" applyFont="1" applyFill="1" applyBorder="1">
      <alignment vertical="center"/>
    </xf>
    <xf numFmtId="0" fontId="76" fillId="0" borderId="13" xfId="16" applyFont="1" applyFill="1" applyBorder="1">
      <alignment vertical="center"/>
    </xf>
    <xf numFmtId="0" fontId="75" fillId="0" borderId="13" xfId="16" applyFont="1" applyFill="1" applyBorder="1">
      <alignment vertical="center"/>
    </xf>
    <xf numFmtId="0" fontId="75" fillId="0" borderId="21" xfId="16" applyFont="1" applyFill="1" applyBorder="1">
      <alignment vertical="center"/>
    </xf>
    <xf numFmtId="43" fontId="75" fillId="0" borderId="22" xfId="16" applyNumberFormat="1" applyFont="1" applyFill="1" applyBorder="1">
      <alignment vertical="center"/>
    </xf>
    <xf numFmtId="0" fontId="75" fillId="0" borderId="22" xfId="16" applyFont="1" applyFill="1" applyBorder="1">
      <alignment vertical="center"/>
    </xf>
    <xf numFmtId="0" fontId="36" fillId="0" borderId="22" xfId="16" applyFont="1" applyFill="1" applyBorder="1">
      <alignment vertical="center"/>
    </xf>
    <xf numFmtId="43" fontId="75" fillId="0" borderId="22" xfId="1" applyFont="1" applyFill="1" applyBorder="1" applyProtection="1">
      <alignment vertical="center"/>
    </xf>
    <xf numFmtId="0" fontId="75" fillId="0" borderId="23" xfId="16" applyFont="1" applyFill="1" applyBorder="1">
      <alignment vertical="center"/>
    </xf>
    <xf numFmtId="43" fontId="32" fillId="0" borderId="15" xfId="17" applyFont="1" applyFill="1" applyBorder="1" applyAlignment="1" applyProtection="1">
      <alignment vertical="center"/>
    </xf>
    <xf numFmtId="43" fontId="35" fillId="0" borderId="14" xfId="17" applyFont="1" applyFill="1" applyBorder="1" applyAlignment="1" applyProtection="1">
      <alignment vertical="center"/>
    </xf>
    <xf numFmtId="0" fontId="33" fillId="0" borderId="33" xfId="16" applyFont="1" applyFill="1" applyBorder="1" applyAlignment="1">
      <alignment vertical="center"/>
    </xf>
    <xf numFmtId="43" fontId="35" fillId="0" borderId="15" xfId="17" applyFont="1" applyFill="1" applyBorder="1" applyAlignment="1" applyProtection="1">
      <alignment vertical="center"/>
    </xf>
    <xf numFmtId="43" fontId="35" fillId="0" borderId="15" xfId="17" applyFont="1" applyFill="1" applyBorder="1" applyAlignment="1" applyProtection="1">
      <alignment vertical="center" wrapText="1"/>
    </xf>
    <xf numFmtId="43" fontId="67" fillId="0" borderId="15" xfId="17" applyFont="1" applyFill="1" applyBorder="1" applyAlignment="1" applyProtection="1">
      <alignment vertical="center"/>
    </xf>
    <xf numFmtId="43" fontId="35" fillId="0" borderId="36" xfId="17" applyFont="1" applyFill="1" applyBorder="1" applyAlignment="1" applyProtection="1">
      <alignment vertical="center"/>
    </xf>
    <xf numFmtId="43" fontId="33" fillId="0" borderId="39" xfId="17" applyFont="1" applyFill="1" applyBorder="1" applyAlignment="1" applyProtection="1">
      <alignment vertical="center"/>
    </xf>
    <xf numFmtId="43" fontId="33" fillId="0" borderId="15" xfId="17" applyFont="1" applyFill="1" applyBorder="1" applyAlignment="1" applyProtection="1">
      <alignment vertical="center"/>
    </xf>
    <xf numFmtId="0" fontId="32" fillId="0" borderId="15" xfId="17" applyNumberFormat="1" applyFont="1" applyFill="1" applyBorder="1" applyAlignment="1" applyProtection="1">
      <alignment vertical="center"/>
    </xf>
    <xf numFmtId="0" fontId="36" fillId="0" borderId="15" xfId="16" applyFont="1" applyFill="1" applyBorder="1">
      <alignment vertical="center"/>
    </xf>
    <xf numFmtId="43" fontId="37" fillId="0" borderId="15" xfId="17" applyFont="1" applyFill="1" applyBorder="1" applyAlignment="1" applyProtection="1">
      <alignment vertical="center" wrapText="1"/>
    </xf>
    <xf numFmtId="0" fontId="32" fillId="0" borderId="0" xfId="16" applyFont="1" applyFill="1" applyBorder="1">
      <alignment vertical="center"/>
    </xf>
    <xf numFmtId="43" fontId="33" fillId="0" borderId="41" xfId="17" applyFont="1" applyFill="1" applyBorder="1" applyAlignment="1" applyProtection="1">
      <alignment vertical="center"/>
    </xf>
    <xf numFmtId="0" fontId="35" fillId="0" borderId="42" xfId="16" applyFont="1" applyFill="1" applyBorder="1" applyAlignment="1">
      <alignment horizontal="left" vertical="center"/>
    </xf>
    <xf numFmtId="0" fontId="35" fillId="0" borderId="40" xfId="16" applyFont="1" applyFill="1" applyBorder="1" applyAlignment="1">
      <alignment horizontal="left" vertical="center"/>
    </xf>
    <xf numFmtId="0" fontId="33" fillId="2" borderId="40" xfId="16" applyFont="1" applyFill="1" applyBorder="1" applyAlignment="1">
      <alignment horizontal="center" vertical="center"/>
    </xf>
    <xf numFmtId="4" fontId="32" fillId="3" borderId="14" xfId="16" applyNumberFormat="1" applyFont="1" applyFill="1" applyBorder="1" applyProtection="1">
      <alignment vertical="center"/>
      <protection locked="0"/>
    </xf>
    <xf numFmtId="181" fontId="32" fillId="3" borderId="14" xfId="18" applyNumberFormat="1" applyFont="1" applyFill="1" applyBorder="1" applyAlignment="1" applyProtection="1">
      <alignment vertical="center"/>
    </xf>
    <xf numFmtId="43" fontId="75" fillId="3" borderId="14" xfId="16" applyNumberFormat="1" applyFont="1" applyFill="1" applyBorder="1">
      <alignment vertical="center"/>
    </xf>
    <xf numFmtId="43" fontId="75" fillId="3" borderId="14" xfId="1" applyFont="1" applyFill="1" applyBorder="1" applyProtection="1">
      <alignment vertical="center"/>
    </xf>
    <xf numFmtId="0" fontId="77" fillId="0" borderId="0" xfId="0" applyFont="1" applyFill="1" applyBorder="1"/>
    <xf numFmtId="0" fontId="41" fillId="0" borderId="0" xfId="0" applyFont="1" applyFill="1" applyBorder="1"/>
    <xf numFmtId="0" fontId="41" fillId="0" borderId="0" xfId="0" applyFont="1" applyFill="1"/>
    <xf numFmtId="43" fontId="41" fillId="0" borderId="0" xfId="1" applyFont="1" applyFill="1" applyAlignment="1"/>
    <xf numFmtId="0" fontId="78" fillId="0" borderId="0" xfId="16" applyFont="1" applyFill="1" applyBorder="1" applyAlignment="1">
      <alignment horizontal="left" vertical="center"/>
    </xf>
    <xf numFmtId="178" fontId="78" fillId="0" borderId="0" xfId="17" applyNumberFormat="1" applyFont="1" applyFill="1" applyBorder="1" applyAlignment="1">
      <alignment vertical="center"/>
    </xf>
    <xf numFmtId="0" fontId="77" fillId="0" borderId="0" xfId="16" applyFont="1" applyFill="1" applyBorder="1" applyAlignment="1">
      <alignment horizontal="left" vertical="center"/>
    </xf>
    <xf numFmtId="178" fontId="77" fillId="0" borderId="0" xfId="17" applyNumberFormat="1" applyFont="1" applyFill="1" applyBorder="1" applyAlignment="1">
      <alignment vertical="center"/>
    </xf>
    <xf numFmtId="0" fontId="41" fillId="0" borderId="0" xfId="0" applyFont="1" applyBorder="1" applyAlignment="1">
      <alignment vertical="center"/>
    </xf>
    <xf numFmtId="178" fontId="79" fillId="0" borderId="0" xfId="17" applyNumberFormat="1" applyFont="1" applyFill="1" applyBorder="1" applyAlignment="1">
      <alignment vertical="center"/>
    </xf>
    <xf numFmtId="43" fontId="78" fillId="0" borderId="0" xfId="18" applyFont="1" applyFill="1" applyBorder="1" applyAlignment="1">
      <alignment vertical="center"/>
    </xf>
    <xf numFmtId="49" fontId="77" fillId="0" borderId="0" xfId="16" applyNumberFormat="1" applyFont="1" applyFill="1" applyBorder="1" applyAlignment="1">
      <alignment horizontal="left" vertical="center"/>
    </xf>
    <xf numFmtId="0" fontId="77" fillId="0" borderId="0" xfId="16" applyFont="1" applyFill="1" applyBorder="1">
      <alignment vertical="center"/>
    </xf>
    <xf numFmtId="9" fontId="77" fillId="0" borderId="0" xfId="19" applyFont="1" applyFill="1" applyBorder="1" applyAlignment="1">
      <alignment vertical="center"/>
    </xf>
    <xf numFmtId="43" fontId="77" fillId="0" borderId="0" xfId="1" applyFont="1" applyFill="1" applyBorder="1" applyAlignment="1">
      <alignment vertical="center"/>
    </xf>
    <xf numFmtId="0" fontId="77" fillId="3" borderId="0" xfId="0" applyFont="1" applyFill="1" applyBorder="1"/>
    <xf numFmtId="43" fontId="41" fillId="0" borderId="0" xfId="1" applyFont="1" applyFill="1" applyBorder="1" applyAlignment="1"/>
    <xf numFmtId="0" fontId="32" fillId="0" borderId="35" xfId="16" applyFont="1" applyFill="1" applyBorder="1">
      <alignment vertical="center"/>
    </xf>
    <xf numFmtId="178" fontId="32" fillId="3" borderId="35" xfId="17" applyNumberFormat="1" applyFont="1" applyFill="1" applyBorder="1" applyAlignment="1" applyProtection="1">
      <alignment vertical="center"/>
      <protection locked="0"/>
    </xf>
    <xf numFmtId="0" fontId="33" fillId="0" borderId="43" xfId="16" applyFont="1" applyFill="1" applyBorder="1" applyAlignment="1">
      <alignment horizontal="center" vertical="center"/>
    </xf>
    <xf numFmtId="43" fontId="33" fillId="0" borderId="41" xfId="17" applyFont="1" applyFill="1" applyBorder="1" applyAlignment="1" applyProtection="1">
      <alignment horizontal="center" vertical="center"/>
    </xf>
    <xf numFmtId="0" fontId="35" fillId="0" borderId="44" xfId="16" applyFont="1" applyFill="1" applyBorder="1" applyAlignment="1">
      <alignment horizontal="left" vertical="center"/>
    </xf>
    <xf numFmtId="0" fontId="32" fillId="0" borderId="27" xfId="16" applyFont="1" applyFill="1" applyBorder="1">
      <alignment vertical="center"/>
    </xf>
    <xf numFmtId="178" fontId="32" fillId="3" borderId="27" xfId="17" applyNumberFormat="1" applyFont="1" applyFill="1" applyBorder="1" applyAlignment="1" applyProtection="1">
      <alignment vertical="center"/>
      <protection locked="0"/>
    </xf>
    <xf numFmtId="178" fontId="32" fillId="0" borderId="27" xfId="17" applyNumberFormat="1" applyFont="1" applyFill="1" applyBorder="1" applyAlignment="1" applyProtection="1">
      <alignment vertical="center"/>
    </xf>
    <xf numFmtId="43" fontId="35" fillId="0" borderId="45" xfId="17" applyFont="1" applyFill="1" applyBorder="1" applyAlignment="1" applyProtection="1">
      <alignment vertical="center"/>
    </xf>
    <xf numFmtId="43" fontId="0" fillId="0" borderId="0" xfId="1" applyFont="1" applyAlignment="1">
      <alignment wrapText="1"/>
    </xf>
    <xf numFmtId="43" fontId="37" fillId="0" borderId="36" xfId="17" applyFont="1" applyFill="1" applyBorder="1" applyAlignment="1" applyProtection="1">
      <alignment vertical="center" wrapText="1"/>
    </xf>
    <xf numFmtId="0" fontId="51" fillId="3" borderId="0" xfId="0" applyFont="1" applyFill="1" applyBorder="1"/>
    <xf numFmtId="43" fontId="51"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3" borderId="0" xfId="0" applyFill="1" applyBorder="1" applyAlignment="1">
      <alignment vertical="center" wrapText="1"/>
    </xf>
    <xf numFmtId="0" fontId="26" fillId="0" borderId="0" xfId="0" applyFont="1" applyBorder="1" applyAlignment="1">
      <alignment horizontal="center"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43" fontId="0" fillId="3" borderId="0" xfId="0" applyNumberFormat="1" applyFill="1"/>
    <xf numFmtId="43" fontId="0" fillId="0" borderId="0" xfId="0" applyNumberFormat="1" applyFill="1"/>
    <xf numFmtId="43" fontId="0" fillId="2" borderId="0" xfId="1" applyFont="1" applyFill="1" applyAlignment="1"/>
    <xf numFmtId="43" fontId="5" fillId="0" borderId="0" xfId="1" applyFont="1" applyBorder="1" applyAlignment="1">
      <alignment horizontal="left" vertical="center" wrapText="1"/>
    </xf>
    <xf numFmtId="43" fontId="32" fillId="0" borderId="0" xfId="1" applyFont="1" applyFill="1" applyBorder="1" applyAlignment="1">
      <alignment horizontal="center" vertical="center"/>
    </xf>
    <xf numFmtId="0" fontId="5" fillId="2" borderId="0" xfId="0" applyFont="1" applyFill="1" applyBorder="1" applyAlignment="1">
      <alignment horizontal="justify" vertical="center"/>
    </xf>
    <xf numFmtId="0" fontId="4" fillId="2" borderId="0" xfId="0" applyFont="1" applyFill="1" applyBorder="1" applyAlignment="1">
      <alignment horizontal="left" vertical="center"/>
    </xf>
    <xf numFmtId="0" fontId="4" fillId="0" borderId="0" xfId="0" applyFont="1" applyFill="1" applyBorder="1" applyAlignment="1">
      <alignment horizontal="right" vertical="center"/>
    </xf>
    <xf numFmtId="43" fontId="9" fillId="3" borderId="0" xfId="1" applyFont="1" applyFill="1" applyBorder="1" applyAlignment="1">
      <alignment horizontal="left" vertical="center" wrapText="1"/>
    </xf>
    <xf numFmtId="43" fontId="5" fillId="3" borderId="0" xfId="1" applyFont="1" applyFill="1" applyBorder="1" applyAlignment="1">
      <alignment horizontal="justify" vertical="center" wrapText="1"/>
    </xf>
    <xf numFmtId="0" fontId="5" fillId="0" borderId="0" xfId="0" applyFont="1" applyFill="1" applyBorder="1" applyAlignment="1">
      <alignment horizontal="right" vertical="center" wrapText="1"/>
    </xf>
    <xf numFmtId="43" fontId="4" fillId="0" borderId="0" xfId="1" applyFont="1" applyBorder="1" applyAlignment="1">
      <alignment horizontal="right" vertical="center" wrapText="1" indent="1"/>
    </xf>
    <xf numFmtId="0" fontId="5" fillId="2" borderId="0" xfId="0" applyFont="1" applyFill="1" applyBorder="1" applyAlignment="1">
      <alignment horizontal="justify" vertical="center" wrapText="1"/>
    </xf>
    <xf numFmtId="43" fontId="4" fillId="0" borderId="0" xfId="1" applyFont="1" applyFill="1" applyBorder="1" applyAlignment="1">
      <alignment vertical="center"/>
    </xf>
    <xf numFmtId="43" fontId="4" fillId="0" borderId="0" xfId="1" applyFont="1" applyFill="1" applyBorder="1" applyAlignment="1">
      <alignment horizontal="left" vertical="center" wrapText="1" indent="1"/>
    </xf>
    <xf numFmtId="43" fontId="4" fillId="3" borderId="0" xfId="1" applyFont="1" applyFill="1" applyBorder="1" applyAlignment="1">
      <alignment horizontal="justify" vertical="center" wrapText="1"/>
    </xf>
    <xf numFmtId="43" fontId="5" fillId="0" borderId="0" xfId="1" applyFont="1" applyFill="1" applyBorder="1" applyAlignment="1">
      <alignment horizontal="justify" vertical="center"/>
    </xf>
    <xf numFmtId="43" fontId="4" fillId="0" borderId="0" xfId="1" applyFont="1" applyFill="1" applyBorder="1" applyAlignment="1">
      <alignment horizontal="center" vertical="center"/>
    </xf>
    <xf numFmtId="43" fontId="4" fillId="2" borderId="0" xfId="0" applyNumberFormat="1" applyFont="1" applyFill="1" applyBorder="1" applyAlignment="1">
      <alignment horizontal="justify" vertical="center" wrapText="1"/>
    </xf>
    <xf numFmtId="43" fontId="4" fillId="0" borderId="0" xfId="0" applyNumberFormat="1" applyFont="1" applyFill="1" applyBorder="1" applyAlignment="1">
      <alignment horizontal="right" vertical="center" wrapText="1"/>
    </xf>
    <xf numFmtId="43" fontId="4" fillId="3" borderId="0" xfId="1" applyFont="1" applyFill="1" applyBorder="1" applyAlignment="1">
      <alignment horizontal="center" vertical="center"/>
    </xf>
    <xf numFmtId="43" fontId="35" fillId="0" borderId="0" xfId="1" applyFont="1" applyFill="1" applyBorder="1" applyAlignment="1" applyProtection="1">
      <alignment horizontal="right" vertical="center" shrinkToFit="1"/>
      <protection locked="0"/>
    </xf>
    <xf numFmtId="0" fontId="35" fillId="0" borderId="0" xfId="0" applyFont="1" applyFill="1" applyBorder="1" applyAlignment="1">
      <alignment horizontal="center" vertical="center"/>
    </xf>
    <xf numFmtId="182" fontId="35" fillId="0" borderId="0" xfId="1" applyNumberFormat="1" applyFont="1" applyFill="1" applyBorder="1" applyAlignment="1" applyProtection="1">
      <alignment vertical="center" wrapText="1"/>
    </xf>
    <xf numFmtId="43" fontId="35" fillId="0" borderId="0" xfId="1" applyFont="1" applyFill="1" applyBorder="1" applyAlignment="1" applyProtection="1">
      <alignment horizontal="right" vertical="center" shrinkToFit="1"/>
    </xf>
    <xf numFmtId="0" fontId="35" fillId="0" borderId="0" xfId="0" applyFont="1" applyFill="1" applyBorder="1" applyAlignment="1">
      <alignment vertical="center"/>
    </xf>
    <xf numFmtId="0" fontId="35" fillId="0" borderId="0" xfId="0" applyFont="1" applyFill="1" applyBorder="1" applyAlignment="1">
      <alignment vertical="center" wrapText="1"/>
    </xf>
    <xf numFmtId="43" fontId="35" fillId="0" borderId="0" xfId="1" applyFont="1" applyFill="1" applyBorder="1" applyAlignment="1" applyProtection="1">
      <alignment horizontal="center" vertical="center"/>
      <protection locked="0"/>
    </xf>
    <xf numFmtId="43" fontId="35" fillId="0" borderId="0" xfId="1" applyFont="1" applyFill="1" applyBorder="1" applyAlignment="1">
      <alignment horizontal="center" vertical="center"/>
    </xf>
    <xf numFmtId="43" fontId="77" fillId="0" borderId="0" xfId="1" applyFont="1" applyFill="1" applyBorder="1" applyAlignment="1"/>
    <xf numFmtId="182" fontId="35" fillId="2" borderId="0" xfId="1" applyNumberFormat="1" applyFont="1" applyFill="1" applyBorder="1" applyAlignment="1" applyProtection="1">
      <alignment vertical="center" wrapText="1"/>
    </xf>
    <xf numFmtId="182" fontId="35" fillId="3" borderId="0" xfId="1" applyNumberFormat="1" applyFont="1" applyFill="1" applyBorder="1" applyAlignment="1" applyProtection="1">
      <alignment vertical="center" wrapText="1"/>
    </xf>
    <xf numFmtId="0" fontId="35" fillId="3" borderId="0" xfId="0" applyFont="1" applyFill="1" applyBorder="1" applyAlignment="1">
      <alignment vertical="center" wrapText="1"/>
    </xf>
    <xf numFmtId="0" fontId="35" fillId="3" borderId="0" xfId="0" applyFont="1" applyFill="1" applyBorder="1" applyAlignment="1">
      <alignment horizontal="center" vertical="center"/>
    </xf>
    <xf numFmtId="43" fontId="35" fillId="3" borderId="0" xfId="1" applyFont="1" applyFill="1" applyBorder="1" applyAlignment="1" applyProtection="1">
      <alignment horizontal="right" vertical="center" shrinkToFit="1"/>
      <protection locked="0"/>
    </xf>
    <xf numFmtId="43" fontId="35" fillId="3" borderId="0" xfId="1" applyFont="1" applyFill="1" applyBorder="1" applyAlignment="1" applyProtection="1">
      <alignment vertical="center"/>
      <protection locked="0"/>
    </xf>
    <xf numFmtId="43" fontId="35" fillId="3" borderId="0" xfId="1" applyFont="1" applyFill="1" applyBorder="1" applyAlignment="1" applyProtection="1">
      <alignment horizontal="right" vertical="center" shrinkToFit="1"/>
    </xf>
    <xf numFmtId="0" fontId="35" fillId="3" borderId="0" xfId="0" applyFont="1" applyFill="1" applyBorder="1" applyAlignment="1">
      <alignment vertical="center"/>
    </xf>
    <xf numFmtId="4" fontId="14" fillId="0" borderId="0" xfId="0" applyNumberFormat="1" applyFont="1" applyFill="1" applyBorder="1" applyAlignment="1">
      <alignment horizontal="right" vertical="center" wrapText="1"/>
    </xf>
    <xf numFmtId="43" fontId="5" fillId="0" borderId="0" xfId="1" applyFont="1" applyBorder="1" applyAlignment="1" applyProtection="1">
      <alignment horizontal="right" vertical="center"/>
    </xf>
    <xf numFmtId="43" fontId="5" fillId="0" borderId="0" xfId="1" applyFont="1" applyBorder="1" applyAlignment="1">
      <alignment horizontal="justify" vertical="center"/>
    </xf>
    <xf numFmtId="0" fontId="5" fillId="2" borderId="0" xfId="0" applyFont="1" applyFill="1" applyBorder="1" applyAlignment="1">
      <alignment horizontal="left" vertical="center" wrapText="1"/>
    </xf>
    <xf numFmtId="0" fontId="30" fillId="0" borderId="0" xfId="0" applyFont="1" applyAlignment="1">
      <alignment wrapText="1"/>
    </xf>
    <xf numFmtId="43" fontId="30" fillId="0" borderId="0" xfId="1" applyFont="1" applyAlignment="1">
      <alignment wrapText="1"/>
    </xf>
    <xf numFmtId="0" fontId="80" fillId="0" borderId="0" xfId="0" applyFont="1" applyAlignment="1">
      <alignment wrapText="1"/>
    </xf>
    <xf numFmtId="0" fontId="81" fillId="0" borderId="0" xfId="0" applyFont="1" applyAlignment="1">
      <alignment wrapText="1"/>
    </xf>
    <xf numFmtId="0" fontId="51" fillId="0" borderId="0" xfId="0" quotePrefix="1" applyFont="1" applyAlignment="1">
      <alignment wrapText="1"/>
    </xf>
    <xf numFmtId="43" fontId="0" fillId="0" borderId="0" xfId="1" applyFont="1" applyAlignment="1">
      <alignment horizontal="center" wrapText="1"/>
    </xf>
    <xf numFmtId="0" fontId="0" fillId="0" borderId="0" xfId="0" applyAlignment="1">
      <alignment horizontal="center"/>
    </xf>
    <xf numFmtId="43" fontId="6" fillId="0" borderId="0" xfId="0" applyNumberFormat="1" applyFont="1" applyFill="1" applyBorder="1" applyAlignment="1">
      <alignment horizontal="justify" vertical="center" wrapText="1"/>
    </xf>
    <xf numFmtId="43" fontId="4" fillId="0" borderId="0" xfId="0" applyNumberFormat="1" applyFont="1" applyFill="1" applyBorder="1" applyAlignment="1">
      <alignment horizontal="center" vertical="center" wrapText="1"/>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43" fontId="6" fillId="0" borderId="0" xfId="1" applyFont="1" applyFill="1" applyBorder="1" applyAlignment="1">
      <alignment horizontal="justify" vertical="center" wrapText="1"/>
    </xf>
    <xf numFmtId="43" fontId="5" fillId="0" borderId="0" xfId="1" applyFont="1" applyFill="1" applyBorder="1" applyAlignment="1">
      <alignment horizontal="left" vertical="center" wrapText="1"/>
    </xf>
    <xf numFmtId="43" fontId="5" fillId="0" borderId="0" xfId="1" applyFont="1" applyFill="1" applyBorder="1" applyAlignment="1">
      <alignment horizontal="justify" vertical="center" wrapText="1"/>
    </xf>
    <xf numFmtId="43" fontId="4" fillId="0" borderId="0" xfId="1" applyFont="1" applyFill="1" applyBorder="1" applyAlignment="1">
      <alignment horizontal="justify" vertical="center" wrapText="1"/>
    </xf>
    <xf numFmtId="0" fontId="13" fillId="2" borderId="0" xfId="0" applyFont="1" applyFill="1" applyBorder="1" applyAlignment="1">
      <alignment horizontal="justify" vertical="center" wrapText="1"/>
    </xf>
    <xf numFmtId="43" fontId="18" fillId="3" borderId="0" xfId="1" applyFont="1" applyFill="1" applyBorder="1" applyAlignment="1">
      <alignment horizontal="center" vertical="center" wrapText="1"/>
    </xf>
    <xf numFmtId="0" fontId="3" fillId="2" borderId="0" xfId="0" applyFont="1" applyFill="1" applyBorder="1" applyAlignment="1">
      <alignment horizontal="justify" vertical="center" wrapText="1"/>
    </xf>
    <xf numFmtId="0" fontId="26" fillId="0" borderId="0" xfId="0" applyFont="1" applyBorder="1" applyAlignment="1">
      <alignment horizontal="justify" vertical="center" wrapText="1"/>
    </xf>
    <xf numFmtId="0" fontId="82" fillId="2" borderId="0" xfId="0" applyFont="1" applyFill="1" applyBorder="1" applyAlignment="1">
      <alignment horizontal="justify" vertic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justify" vertical="center"/>
    </xf>
    <xf numFmtId="43" fontId="4" fillId="3" borderId="0" xfId="1" applyFont="1" applyFill="1" applyBorder="1" applyAlignment="1">
      <alignment vertical="center" wrapText="1"/>
    </xf>
    <xf numFmtId="43" fontId="4" fillId="3" borderId="0" xfId="1" applyFont="1" applyFill="1" applyBorder="1" applyAlignment="1">
      <alignment vertical="center"/>
    </xf>
    <xf numFmtId="43" fontId="4" fillId="3" borderId="0" xfId="1" applyFont="1" applyFill="1" applyBorder="1" applyAlignment="1">
      <alignment horizontal="justify" vertical="center"/>
    </xf>
    <xf numFmtId="43" fontId="4" fillId="0" borderId="0" xfId="1" applyFont="1" applyBorder="1" applyAlignment="1">
      <alignment horizontal="justify" vertical="center"/>
    </xf>
    <xf numFmtId="43" fontId="13" fillId="3" borderId="0" xfId="1" applyFont="1" applyFill="1" applyBorder="1" applyAlignment="1">
      <alignment horizontal="center" vertical="center" wrapText="1"/>
    </xf>
    <xf numFmtId="43" fontId="4" fillId="0" borderId="0" xfId="0" applyNumberFormat="1" applyFont="1" applyFill="1" applyBorder="1" applyAlignment="1">
      <alignment vertical="center" wrapText="1"/>
    </xf>
    <xf numFmtId="43" fontId="13" fillId="3" borderId="0" xfId="0" applyNumberFormat="1" applyFont="1" applyFill="1" applyBorder="1" applyAlignment="1">
      <alignment vertical="center" wrapText="1"/>
    </xf>
    <xf numFmtId="43" fontId="13" fillId="3" borderId="0" xfId="0" applyNumberFormat="1" applyFont="1" applyFill="1" applyBorder="1" applyAlignment="1">
      <alignment horizontal="right" vertical="center" wrapText="1"/>
    </xf>
    <xf numFmtId="0" fontId="0" fillId="0" borderId="0" xfId="0" applyNumberFormat="1"/>
    <xf numFmtId="0" fontId="4" fillId="3" borderId="0" xfId="0" applyNumberFormat="1" applyFont="1" applyFill="1" applyBorder="1" applyAlignment="1">
      <alignment horizontal="left" wrapText="1"/>
    </xf>
    <xf numFmtId="0" fontId="13" fillId="0" borderId="0" xfId="0" applyFont="1" applyFill="1" applyBorder="1" applyAlignment="1">
      <alignment horizontal="justify" vertical="center" wrapText="1"/>
    </xf>
    <xf numFmtId="43" fontId="51" fillId="3" borderId="0" xfId="1" applyFont="1" applyFill="1" applyAlignment="1"/>
    <xf numFmtId="0" fontId="0" fillId="4" borderId="0" xfId="0" applyFill="1"/>
    <xf numFmtId="43" fontId="0" fillId="4" borderId="0" xfId="1" applyFont="1" applyFill="1" applyAlignment="1"/>
    <xf numFmtId="178" fontId="13" fillId="5" borderId="0" xfId="5" applyNumberFormat="1" applyFont="1" applyFill="1" applyAlignment="1">
      <alignment vertical="center" shrinkToFit="1"/>
    </xf>
    <xf numFmtId="176" fontId="46" fillId="0" borderId="0" xfId="0" applyNumberFormat="1" applyFont="1" applyAlignment="1">
      <alignment vertical="center"/>
    </xf>
    <xf numFmtId="43" fontId="13" fillId="0" borderId="0" xfId="1" applyFont="1" applyAlignment="1">
      <alignment vertical="center" wrapText="1"/>
    </xf>
    <xf numFmtId="43" fontId="13" fillId="0" borderId="0" xfId="1" applyFont="1" applyAlignment="1">
      <alignment horizontal="center" vertical="center" wrapText="1"/>
    </xf>
    <xf numFmtId="43" fontId="4" fillId="0" borderId="0" xfId="1" applyFont="1" applyAlignment="1">
      <alignment vertical="center" wrapText="1"/>
    </xf>
    <xf numFmtId="43" fontId="4" fillId="0" borderId="0" xfId="1" applyFont="1" applyAlignment="1">
      <alignment horizontal="center" vertical="center" wrapText="1"/>
    </xf>
    <xf numFmtId="43" fontId="5" fillId="3" borderId="0" xfId="1" applyFont="1" applyFill="1" applyBorder="1" applyAlignment="1">
      <alignment horizontal="justify" vertical="center"/>
    </xf>
    <xf numFmtId="43" fontId="4" fillId="0" borderId="0" xfId="0" applyNumberFormat="1" applyFont="1" applyBorder="1" applyAlignment="1">
      <alignment horizontal="right" vertical="center"/>
    </xf>
    <xf numFmtId="43" fontId="4" fillId="0" borderId="0" xfId="0" applyNumberFormat="1" applyFont="1" applyBorder="1" applyAlignment="1">
      <alignment horizontal="right" vertical="center" wrapText="1"/>
    </xf>
    <xf numFmtId="43" fontId="13" fillId="0" borderId="0" xfId="0" applyNumberFormat="1" applyFont="1" applyBorder="1" applyAlignment="1">
      <alignment horizontal="right" vertical="center" wrapText="1"/>
    </xf>
    <xf numFmtId="0" fontId="0" fillId="0" borderId="0" xfId="0" applyAlignment="1">
      <alignment horizontal="center"/>
    </xf>
    <xf numFmtId="0" fontId="0" fillId="0" borderId="0" xfId="0" applyAlignment="1">
      <alignment horizontal="center"/>
    </xf>
    <xf numFmtId="0" fontId="53" fillId="0" borderId="0" xfId="0" applyFont="1" applyAlignment="1">
      <alignment horizontal="left" vertical="center" wrapText="1"/>
    </xf>
    <xf numFmtId="0" fontId="53" fillId="0" borderId="0" xfId="11" applyFont="1" applyAlignment="1">
      <alignment horizontal="left" vertical="center" wrapText="1"/>
    </xf>
    <xf numFmtId="0" fontId="35" fillId="0" borderId="14" xfId="11" applyFont="1" applyBorder="1" applyAlignment="1">
      <alignment horizontal="center" vertical="center"/>
    </xf>
    <xf numFmtId="0" fontId="35" fillId="0" borderId="15" xfId="11" applyFont="1" applyBorder="1" applyAlignment="1">
      <alignment horizontal="center" vertical="center"/>
    </xf>
    <xf numFmtId="0" fontId="35" fillId="0" borderId="20" xfId="11" applyFont="1" applyBorder="1" applyAlignment="1">
      <alignment horizontal="center" vertical="center"/>
    </xf>
    <xf numFmtId="0" fontId="35" fillId="0" borderId="17" xfId="11" applyFont="1" applyBorder="1" applyAlignment="1">
      <alignment horizontal="center" vertical="center"/>
    </xf>
    <xf numFmtId="0" fontId="35" fillId="0" borderId="18" xfId="11" applyFont="1" applyBorder="1" applyAlignment="1">
      <alignment horizontal="center" vertical="center"/>
    </xf>
    <xf numFmtId="0" fontId="55" fillId="8" borderId="22" xfId="11" applyFont="1" applyFill="1" applyBorder="1" applyAlignment="1">
      <alignment horizontal="left" vertical="center"/>
    </xf>
    <xf numFmtId="0" fontId="57" fillId="8" borderId="22" xfId="0" applyFont="1" applyFill="1" applyBorder="1" applyAlignment="1">
      <alignment vertical="center"/>
    </xf>
    <xf numFmtId="0" fontId="57" fillId="8" borderId="23" xfId="0" applyFont="1" applyFill="1" applyBorder="1" applyAlignment="1">
      <alignment vertical="center"/>
    </xf>
    <xf numFmtId="0" fontId="33" fillId="0" borderId="1" xfId="0" applyFont="1" applyBorder="1" applyAlignment="1">
      <alignment horizontal="left" vertical="center" wrapText="1"/>
    </xf>
    <xf numFmtId="0" fontId="33" fillId="0" borderId="24" xfId="0" applyFont="1" applyBorder="1" applyAlignment="1">
      <alignment horizontal="left" vertical="center" wrapText="1"/>
    </xf>
    <xf numFmtId="0" fontId="33" fillId="0" borderId="6" xfId="0" applyFont="1" applyBorder="1" applyAlignment="1">
      <alignment horizontal="left" vertical="center" wrapText="1"/>
    </xf>
    <xf numFmtId="0" fontId="33" fillId="0" borderId="26" xfId="0" applyFont="1" applyBorder="1" applyAlignment="1">
      <alignment horizontal="left" vertical="center" wrapText="1"/>
    </xf>
    <xf numFmtId="0" fontId="35" fillId="0" borderId="13" xfId="11" applyFont="1" applyBorder="1" applyAlignment="1">
      <alignment horizontal="left" vertical="center"/>
    </xf>
    <xf numFmtId="0" fontId="35" fillId="0" borderId="14" xfId="11" applyFont="1" applyBorder="1" applyAlignment="1">
      <alignment horizontal="left" vertical="center"/>
    </xf>
    <xf numFmtId="43" fontId="54" fillId="8" borderId="14" xfId="11" applyNumberFormat="1" applyFont="1" applyFill="1" applyBorder="1" applyAlignment="1">
      <alignment horizontal="center" vertical="center"/>
    </xf>
    <xf numFmtId="43" fontId="54" fillId="8" borderId="15" xfId="11" applyNumberFormat="1" applyFont="1" applyFill="1" applyBorder="1" applyAlignment="1">
      <alignment horizontal="center" vertical="center"/>
    </xf>
    <xf numFmtId="43" fontId="57" fillId="8" borderId="14" xfId="0" applyNumberFormat="1" applyFont="1" applyFill="1" applyBorder="1" applyAlignment="1">
      <alignment vertical="center"/>
    </xf>
    <xf numFmtId="43" fontId="57" fillId="8" borderId="15" xfId="0" applyNumberFormat="1" applyFont="1" applyFill="1" applyBorder="1" applyAlignment="1">
      <alignment vertical="center"/>
    </xf>
    <xf numFmtId="43" fontId="54" fillId="8" borderId="20" xfId="11" applyNumberFormat="1" applyFont="1" applyFill="1" applyBorder="1" applyAlignment="1">
      <alignment horizontal="center" vertical="center"/>
    </xf>
    <xf numFmtId="43" fontId="54" fillId="8" borderId="17" xfId="11" applyNumberFormat="1" applyFont="1" applyFill="1" applyBorder="1" applyAlignment="1">
      <alignment horizontal="center" vertical="center"/>
    </xf>
    <xf numFmtId="43" fontId="54" fillId="8" borderId="18" xfId="11" applyNumberFormat="1" applyFont="1" applyFill="1" applyBorder="1" applyAlignment="1">
      <alignment horizontal="center" vertical="center"/>
    </xf>
    <xf numFmtId="0" fontId="56" fillId="0" borderId="14" xfId="11" applyFont="1" applyBorder="1" applyAlignment="1">
      <alignment horizontal="left" vertical="center"/>
    </xf>
    <xf numFmtId="0" fontId="56" fillId="0" borderId="15" xfId="11" applyFont="1" applyBorder="1" applyAlignment="1">
      <alignment horizontal="left" vertical="center"/>
    </xf>
    <xf numFmtId="0" fontId="35" fillId="0" borderId="16" xfId="11" applyFont="1" applyBorder="1" applyAlignment="1">
      <alignment horizontal="left" vertical="center"/>
    </xf>
    <xf numFmtId="0" fontId="35" fillId="0" borderId="17" xfId="11" applyFont="1" applyBorder="1" applyAlignment="1">
      <alignment horizontal="left" vertical="center"/>
    </xf>
    <xf numFmtId="0" fontId="35" fillId="0" borderId="18" xfId="11" applyFont="1" applyBorder="1" applyAlignment="1">
      <alignment horizontal="left" vertical="center"/>
    </xf>
    <xf numFmtId="0" fontId="33" fillId="7" borderId="16" xfId="11" applyFont="1" applyFill="1" applyBorder="1" applyAlignment="1">
      <alignment horizontal="left" vertical="center"/>
    </xf>
    <xf numFmtId="0" fontId="33" fillId="7" borderId="17" xfId="11" applyFont="1" applyFill="1" applyBorder="1" applyAlignment="1">
      <alignment horizontal="left" vertical="center"/>
    </xf>
    <xf numFmtId="0" fontId="33" fillId="7" borderId="18" xfId="11" applyFont="1" applyFill="1" applyBorder="1" applyAlignment="1">
      <alignment horizontal="left" vertical="center"/>
    </xf>
    <xf numFmtId="0" fontId="35" fillId="0" borderId="13" xfId="11" applyFont="1" applyBorder="1" applyAlignment="1" applyProtection="1">
      <alignment horizontal="left" vertical="center" wrapText="1"/>
      <protection locked="0"/>
    </xf>
    <xf numFmtId="0" fontId="35" fillId="0" borderId="14" xfId="11" applyFont="1" applyBorder="1" applyAlignment="1" applyProtection="1">
      <alignment horizontal="left" vertical="center" wrapText="1"/>
      <protection locked="0"/>
    </xf>
    <xf numFmtId="43" fontId="54" fillId="8" borderId="14" xfId="11" applyNumberFormat="1" applyFont="1" applyFill="1" applyBorder="1" applyAlignment="1" applyProtection="1">
      <alignment vertical="center" wrapText="1"/>
      <protection locked="0"/>
    </xf>
    <xf numFmtId="43" fontId="54" fillId="8" borderId="15" xfId="11" applyNumberFormat="1" applyFont="1" applyFill="1" applyBorder="1" applyAlignment="1" applyProtection="1">
      <alignment vertical="center" wrapText="1"/>
      <protection locked="0"/>
    </xf>
    <xf numFmtId="0" fontId="35" fillId="0" borderId="13" xfId="11" applyFont="1" applyBorder="1" applyAlignment="1">
      <alignment horizontal="left" vertical="center" wrapText="1"/>
    </xf>
    <xf numFmtId="0" fontId="35" fillId="0" borderId="14" xfId="11" applyFont="1" applyBorder="1" applyAlignment="1">
      <alignment horizontal="left" vertical="center" wrapText="1"/>
    </xf>
    <xf numFmtId="0" fontId="56" fillId="0" borderId="14" xfId="11" applyFont="1" applyBorder="1" applyAlignment="1">
      <alignment horizontal="center" vertical="center"/>
    </xf>
    <xf numFmtId="0" fontId="56" fillId="0" borderId="15" xfId="11" applyFont="1" applyBorder="1" applyAlignment="1">
      <alignment horizontal="center" vertical="center"/>
    </xf>
    <xf numFmtId="0" fontId="33" fillId="0" borderId="14" xfId="11" applyFont="1" applyBorder="1" applyAlignment="1" applyProtection="1">
      <alignment horizontal="center" vertical="center" wrapText="1"/>
      <protection locked="0"/>
    </xf>
    <xf numFmtId="0" fontId="33" fillId="0" borderId="15" xfId="11" applyFont="1" applyBorder="1" applyAlignment="1" applyProtection="1">
      <alignment horizontal="center" vertical="center" wrapText="1"/>
      <protection locked="0"/>
    </xf>
    <xf numFmtId="0" fontId="33" fillId="0" borderId="20" xfId="11" applyFont="1" applyBorder="1" applyAlignment="1" applyProtection="1">
      <alignment horizontal="center" vertical="center"/>
      <protection locked="0"/>
    </xf>
    <xf numFmtId="0" fontId="33" fillId="0" borderId="17" xfId="11" applyFont="1" applyBorder="1" applyAlignment="1" applyProtection="1">
      <alignment horizontal="center" vertical="center"/>
      <protection locked="0"/>
    </xf>
    <xf numFmtId="0" fontId="33" fillId="0" borderId="18" xfId="11" applyFont="1" applyBorder="1" applyAlignment="1" applyProtection="1">
      <alignment horizontal="center" vertical="center"/>
      <protection locked="0"/>
    </xf>
    <xf numFmtId="0" fontId="54" fillId="8" borderId="14" xfId="11" applyFont="1" applyFill="1" applyBorder="1" applyAlignment="1" applyProtection="1">
      <alignment vertical="center" wrapText="1"/>
      <protection locked="0"/>
    </xf>
    <xf numFmtId="0" fontId="54" fillId="8" borderId="15" xfId="11" applyFont="1" applyFill="1" applyBorder="1" applyAlignment="1" applyProtection="1">
      <alignment vertical="center" wrapText="1"/>
      <protection locked="0"/>
    </xf>
    <xf numFmtId="0" fontId="33" fillId="0" borderId="16" xfId="11" applyFont="1" applyBorder="1" applyAlignment="1">
      <alignment horizontal="center" vertical="center"/>
    </xf>
    <xf numFmtId="0" fontId="33" fillId="0" borderId="17" xfId="11" applyFont="1" applyBorder="1" applyAlignment="1">
      <alignment horizontal="center" vertical="center"/>
    </xf>
    <xf numFmtId="0" fontId="33" fillId="0" borderId="18" xfId="11" applyFont="1" applyBorder="1" applyAlignment="1">
      <alignment horizontal="center" vertical="center"/>
    </xf>
    <xf numFmtId="0" fontId="45" fillId="0" borderId="14" xfId="0" applyFont="1" applyBorder="1" applyAlignment="1">
      <alignment vertical="center"/>
    </xf>
    <xf numFmtId="0" fontId="45" fillId="0" borderId="15" xfId="0" applyFont="1" applyBorder="1" applyAlignment="1">
      <alignment vertical="center"/>
    </xf>
    <xf numFmtId="0" fontId="33" fillId="0" borderId="14" xfId="11" applyFont="1" applyBorder="1" applyAlignment="1">
      <alignment horizontal="center" vertical="center"/>
    </xf>
    <xf numFmtId="0" fontId="33" fillId="0" borderId="15" xfId="11" applyFont="1" applyBorder="1" applyAlignment="1">
      <alignment horizontal="center" vertical="center"/>
    </xf>
    <xf numFmtId="0" fontId="35" fillId="0" borderId="15" xfId="11" applyFont="1" applyBorder="1" applyAlignment="1">
      <alignment horizontal="left" vertical="center" wrapText="1"/>
    </xf>
    <xf numFmtId="0" fontId="45" fillId="0" borderId="14" xfId="0" applyFont="1" applyBorder="1" applyAlignment="1">
      <alignment horizontal="center" vertical="center"/>
    </xf>
    <xf numFmtId="9" fontId="35" fillId="0" borderId="14" xfId="1" applyNumberFormat="1" applyFont="1" applyFill="1" applyBorder="1" applyAlignment="1" applyProtection="1">
      <alignment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pplyProtection="1">
      <alignment horizontal="center" vertical="center"/>
      <protection locked="0"/>
    </xf>
    <xf numFmtId="43" fontId="39" fillId="8" borderId="20" xfId="11" applyNumberFormat="1" applyFont="1" applyFill="1" applyBorder="1" applyAlignment="1" applyProtection="1">
      <alignment horizontal="center" vertical="center"/>
      <protection locked="0"/>
    </xf>
    <xf numFmtId="0" fontId="39" fillId="8" borderId="17" xfId="11" applyFont="1" applyFill="1" applyBorder="1" applyAlignment="1" applyProtection="1">
      <alignment horizontal="center" vertical="center"/>
      <protection locked="0"/>
    </xf>
    <xf numFmtId="0" fontId="39" fillId="8" borderId="18" xfId="11" applyFont="1" applyFill="1" applyBorder="1" applyAlignment="1" applyProtection="1">
      <alignment horizontal="center" vertical="center"/>
      <protection locked="0"/>
    </xf>
    <xf numFmtId="0" fontId="33" fillId="7" borderId="10" xfId="11" applyFont="1" applyFill="1" applyBorder="1" applyAlignment="1">
      <alignment horizontal="left" vertical="center"/>
    </xf>
    <xf numFmtId="0" fontId="33" fillId="7" borderId="11" xfId="11" applyFont="1" applyFill="1" applyBorder="1" applyAlignment="1">
      <alignment horizontal="left" vertical="center"/>
    </xf>
    <xf numFmtId="0" fontId="33" fillId="7" borderId="12" xfId="11" applyFont="1" applyFill="1" applyBorder="1" applyAlignment="1">
      <alignment horizontal="left" vertical="center"/>
    </xf>
    <xf numFmtId="0" fontId="35" fillId="0" borderId="14" xfId="11" applyFont="1" applyBorder="1" applyAlignment="1">
      <alignment horizontal="center" vertical="center" wrapText="1"/>
    </xf>
    <xf numFmtId="0" fontId="45" fillId="0" borderId="15" xfId="0" applyFont="1" applyBorder="1" applyAlignment="1">
      <alignment horizontal="center" vertical="center"/>
    </xf>
    <xf numFmtId="43" fontId="54" fillId="0" borderId="14" xfId="1" applyFont="1" applyBorder="1" applyAlignment="1">
      <alignment horizontal="center" vertical="center"/>
    </xf>
    <xf numFmtId="43" fontId="54" fillId="0" borderId="15" xfId="1" applyFont="1" applyBorder="1" applyAlignment="1">
      <alignment horizontal="center" vertical="center"/>
    </xf>
    <xf numFmtId="0" fontId="55" fillId="0" borderId="14" xfId="11" applyFont="1" applyBorder="1" applyAlignment="1">
      <alignment horizontal="right" vertical="center"/>
    </xf>
    <xf numFmtId="0" fontId="55" fillId="0" borderId="15" xfId="11" applyFont="1" applyBorder="1" applyAlignment="1">
      <alignment horizontal="right" vertical="center"/>
    </xf>
    <xf numFmtId="0" fontId="35" fillId="0" borderId="16" xfId="11" applyFont="1" applyBorder="1" applyAlignment="1">
      <alignment horizontal="center" vertical="center"/>
    </xf>
    <xf numFmtId="0" fontId="0" fillId="14" borderId="0" xfId="0" applyFill="1" applyBorder="1"/>
    <xf numFmtId="43" fontId="0" fillId="14" borderId="0" xfId="1" applyFont="1" applyFill="1" applyBorder="1" applyAlignment="1"/>
    <xf numFmtId="178" fontId="0" fillId="0" borderId="0" xfId="0" applyNumberFormat="1"/>
    <xf numFmtId="4" fontId="0" fillId="0" borderId="0" xfId="0" applyNumberFormat="1"/>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externalLink" Target="externalLinks/externalLink3.xml"/><Relationship Id="rId248" Type="http://schemas.openxmlformats.org/officeDocument/2006/relationships/worksheet" Target="worksheets/sheet248.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399" Type="http://schemas.openxmlformats.org/officeDocument/2006/relationships/worksheet" Target="worksheets/sheet399.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65" Type="http://schemas.openxmlformats.org/officeDocument/2006/relationships/worksheet" Target="worksheets/sheet65.xml"/><Relationship Id="rId130" Type="http://schemas.openxmlformats.org/officeDocument/2006/relationships/worksheet" Target="worksheets/sheet130.xml"/><Relationship Id="rId368" Type="http://schemas.openxmlformats.org/officeDocument/2006/relationships/worksheet" Target="worksheets/sheet368.xml"/><Relationship Id="rId172" Type="http://schemas.openxmlformats.org/officeDocument/2006/relationships/worksheet" Target="worksheets/sheet172.xml"/><Relationship Id="rId228" Type="http://schemas.openxmlformats.org/officeDocument/2006/relationships/worksheet" Target="worksheets/sheet228.xml"/><Relationship Id="rId281" Type="http://schemas.openxmlformats.org/officeDocument/2006/relationships/worksheet" Target="worksheets/sheet281.xml"/><Relationship Id="rId337" Type="http://schemas.openxmlformats.org/officeDocument/2006/relationships/worksheet" Target="worksheets/sheet337.xml"/><Relationship Id="rId34" Type="http://schemas.openxmlformats.org/officeDocument/2006/relationships/worksheet" Target="worksheets/sheet34.xml"/><Relationship Id="rId76" Type="http://schemas.openxmlformats.org/officeDocument/2006/relationships/worksheet" Target="worksheets/sheet76.xml"/><Relationship Id="rId141" Type="http://schemas.openxmlformats.org/officeDocument/2006/relationships/worksheet" Target="worksheets/sheet141.xml"/><Relationship Id="rId379" Type="http://schemas.openxmlformats.org/officeDocument/2006/relationships/worksheet" Target="worksheets/sheet379.xml"/><Relationship Id="rId7" Type="http://schemas.openxmlformats.org/officeDocument/2006/relationships/worksheet" Target="worksheets/sheet7.xml"/><Relationship Id="rId183" Type="http://schemas.openxmlformats.org/officeDocument/2006/relationships/worksheet" Target="worksheets/sheet183.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250" Type="http://schemas.openxmlformats.org/officeDocument/2006/relationships/worksheet" Target="worksheets/sheet250.xml"/><Relationship Id="rId292" Type="http://schemas.openxmlformats.org/officeDocument/2006/relationships/worksheet" Target="worksheets/sheet292.xml"/><Relationship Id="rId306" Type="http://schemas.openxmlformats.org/officeDocument/2006/relationships/worksheet" Target="worksheets/sheet306.xml"/><Relationship Id="rId45" Type="http://schemas.openxmlformats.org/officeDocument/2006/relationships/worksheet" Target="worksheets/sheet45.xml"/><Relationship Id="rId87" Type="http://schemas.openxmlformats.org/officeDocument/2006/relationships/worksheet" Target="worksheets/sheet87.xml"/><Relationship Id="rId110" Type="http://schemas.openxmlformats.org/officeDocument/2006/relationships/worksheet" Target="worksheets/sheet110.xml"/><Relationship Id="rId348" Type="http://schemas.openxmlformats.org/officeDocument/2006/relationships/worksheet" Target="worksheets/sheet348.xml"/><Relationship Id="rId152" Type="http://schemas.openxmlformats.org/officeDocument/2006/relationships/worksheet" Target="worksheets/sheet152.xml"/><Relationship Id="rId194" Type="http://schemas.openxmlformats.org/officeDocument/2006/relationships/worksheet" Target="worksheets/sheet194.xml"/><Relationship Id="rId208" Type="http://schemas.openxmlformats.org/officeDocument/2006/relationships/worksheet" Target="worksheets/sheet208.xml"/><Relationship Id="rId415" Type="http://schemas.openxmlformats.org/officeDocument/2006/relationships/connections" Target="connections.xml"/><Relationship Id="rId261" Type="http://schemas.openxmlformats.org/officeDocument/2006/relationships/worksheet" Target="worksheets/sheet261.xml"/><Relationship Id="rId14" Type="http://schemas.openxmlformats.org/officeDocument/2006/relationships/worksheet" Target="worksheets/sheet14.xml"/><Relationship Id="rId56" Type="http://schemas.openxmlformats.org/officeDocument/2006/relationships/worksheet" Target="worksheets/sheet56.xml"/><Relationship Id="rId317" Type="http://schemas.openxmlformats.org/officeDocument/2006/relationships/worksheet" Target="worksheets/sheet317.xml"/><Relationship Id="rId359" Type="http://schemas.openxmlformats.org/officeDocument/2006/relationships/worksheet" Target="worksheets/sheet359.xml"/><Relationship Id="rId98" Type="http://schemas.openxmlformats.org/officeDocument/2006/relationships/worksheet" Target="worksheets/sheet98.xml"/><Relationship Id="rId121" Type="http://schemas.openxmlformats.org/officeDocument/2006/relationships/worksheet" Target="worksheets/sheet121.xml"/><Relationship Id="rId163" Type="http://schemas.openxmlformats.org/officeDocument/2006/relationships/worksheet" Target="worksheets/sheet163.xml"/><Relationship Id="rId219" Type="http://schemas.openxmlformats.org/officeDocument/2006/relationships/worksheet" Target="worksheets/sheet219.xml"/><Relationship Id="rId370" Type="http://schemas.openxmlformats.org/officeDocument/2006/relationships/worksheet" Target="worksheets/sheet370.xml"/><Relationship Id="rId230" Type="http://schemas.openxmlformats.org/officeDocument/2006/relationships/worksheet" Target="worksheets/sheet230.xml"/><Relationship Id="rId25" Type="http://schemas.openxmlformats.org/officeDocument/2006/relationships/worksheet" Target="worksheets/sheet25.xml"/><Relationship Id="rId67" Type="http://schemas.openxmlformats.org/officeDocument/2006/relationships/worksheet" Target="worksheets/sheet67.xml"/><Relationship Id="rId272" Type="http://schemas.openxmlformats.org/officeDocument/2006/relationships/worksheet" Target="worksheets/sheet272.xml"/><Relationship Id="rId328" Type="http://schemas.openxmlformats.org/officeDocument/2006/relationships/worksheet" Target="worksheets/sheet328.xml"/><Relationship Id="rId132" Type="http://schemas.openxmlformats.org/officeDocument/2006/relationships/worksheet" Target="worksheets/sheet132.xml"/><Relationship Id="rId174" Type="http://schemas.openxmlformats.org/officeDocument/2006/relationships/worksheet" Target="worksheets/sheet174.xml"/><Relationship Id="rId381" Type="http://schemas.openxmlformats.org/officeDocument/2006/relationships/worksheet" Target="worksheets/sheet381.xml"/><Relationship Id="rId241" Type="http://schemas.openxmlformats.org/officeDocument/2006/relationships/worksheet" Target="worksheets/sheet241.xml"/><Relationship Id="rId36" Type="http://schemas.openxmlformats.org/officeDocument/2006/relationships/worksheet" Target="worksheets/sheet36.xml"/><Relationship Id="rId283" Type="http://schemas.openxmlformats.org/officeDocument/2006/relationships/worksheet" Target="worksheets/sheet283.xml"/><Relationship Id="rId339" Type="http://schemas.openxmlformats.org/officeDocument/2006/relationships/worksheet" Target="worksheets/sheet339.xml"/><Relationship Id="rId78" Type="http://schemas.openxmlformats.org/officeDocument/2006/relationships/worksheet" Target="worksheets/sheet78.xml"/><Relationship Id="rId101" Type="http://schemas.openxmlformats.org/officeDocument/2006/relationships/worksheet" Target="worksheets/sheet101.xml"/><Relationship Id="rId143" Type="http://schemas.openxmlformats.org/officeDocument/2006/relationships/worksheet" Target="worksheets/sheet143.xml"/><Relationship Id="rId185" Type="http://schemas.openxmlformats.org/officeDocument/2006/relationships/worksheet" Target="worksheets/sheet185.xml"/><Relationship Id="rId350" Type="http://schemas.openxmlformats.org/officeDocument/2006/relationships/worksheet" Target="worksheets/sheet350.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252" Type="http://schemas.openxmlformats.org/officeDocument/2006/relationships/worksheet" Target="worksheets/sheet252.xml"/><Relationship Id="rId294" Type="http://schemas.openxmlformats.org/officeDocument/2006/relationships/worksheet" Target="worksheets/sheet294.xml"/><Relationship Id="rId308" Type="http://schemas.openxmlformats.org/officeDocument/2006/relationships/worksheet" Target="worksheets/sheet308.xml"/><Relationship Id="rId47" Type="http://schemas.openxmlformats.org/officeDocument/2006/relationships/worksheet" Target="worksheets/sheet47.xml"/><Relationship Id="rId89" Type="http://schemas.openxmlformats.org/officeDocument/2006/relationships/worksheet" Target="worksheets/sheet89.xml"/><Relationship Id="rId112" Type="http://schemas.openxmlformats.org/officeDocument/2006/relationships/worksheet" Target="worksheets/sheet112.xml"/><Relationship Id="rId154" Type="http://schemas.openxmlformats.org/officeDocument/2006/relationships/worksheet" Target="worksheets/sheet154.xml"/><Relationship Id="rId361" Type="http://schemas.openxmlformats.org/officeDocument/2006/relationships/worksheet" Target="worksheets/sheet361.xml"/><Relationship Id="rId196" Type="http://schemas.openxmlformats.org/officeDocument/2006/relationships/worksheet" Target="worksheets/sheet196.xml"/><Relationship Id="rId417" Type="http://schemas.openxmlformats.org/officeDocument/2006/relationships/sharedStrings" Target="sharedStrings.xml"/><Relationship Id="rId16" Type="http://schemas.openxmlformats.org/officeDocument/2006/relationships/worksheet" Target="worksheets/sheet16.xml"/><Relationship Id="rId221" Type="http://schemas.openxmlformats.org/officeDocument/2006/relationships/worksheet" Target="worksheets/sheet221.xml"/><Relationship Id="rId263" Type="http://schemas.openxmlformats.org/officeDocument/2006/relationships/worksheet" Target="worksheets/sheet263.xml"/><Relationship Id="rId319" Type="http://schemas.openxmlformats.org/officeDocument/2006/relationships/worksheet" Target="worksheets/sheet319.xml"/><Relationship Id="rId58" Type="http://schemas.openxmlformats.org/officeDocument/2006/relationships/worksheet" Target="worksheets/sheet58.xml"/><Relationship Id="rId123" Type="http://schemas.openxmlformats.org/officeDocument/2006/relationships/worksheet" Target="worksheets/sheet123.xml"/><Relationship Id="rId330" Type="http://schemas.openxmlformats.org/officeDocument/2006/relationships/worksheet" Target="worksheets/sheet330.xml"/><Relationship Id="rId165" Type="http://schemas.openxmlformats.org/officeDocument/2006/relationships/worksheet" Target="worksheets/sheet165.xml"/><Relationship Id="rId372" Type="http://schemas.openxmlformats.org/officeDocument/2006/relationships/worksheet" Target="worksheets/sheet372.xml"/><Relationship Id="rId232" Type="http://schemas.openxmlformats.org/officeDocument/2006/relationships/worksheet" Target="worksheets/sheet232.xml"/><Relationship Id="rId274" Type="http://schemas.openxmlformats.org/officeDocument/2006/relationships/worksheet" Target="worksheets/sheet274.xml"/><Relationship Id="rId27" Type="http://schemas.openxmlformats.org/officeDocument/2006/relationships/worksheet" Target="worksheets/sheet27.xml"/><Relationship Id="rId69" Type="http://schemas.openxmlformats.org/officeDocument/2006/relationships/worksheet" Target="worksheets/sheet69.xml"/><Relationship Id="rId134" Type="http://schemas.openxmlformats.org/officeDocument/2006/relationships/worksheet" Target="worksheets/sheet134.xml"/><Relationship Id="rId80" Type="http://schemas.openxmlformats.org/officeDocument/2006/relationships/worksheet" Target="worksheets/sheet80.xml"/><Relationship Id="rId176" Type="http://schemas.openxmlformats.org/officeDocument/2006/relationships/worksheet" Target="worksheets/sheet176.xml"/><Relationship Id="rId341" Type="http://schemas.openxmlformats.org/officeDocument/2006/relationships/worksheet" Target="worksheets/sheet341.xml"/><Relationship Id="rId383" Type="http://schemas.openxmlformats.org/officeDocument/2006/relationships/worksheet" Target="worksheets/sheet383.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worksheet" Target="worksheets/sheet408.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customXml" Target="../customXml/item1.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externalLink" Target="externalLinks/externalLink1.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externalLink" Target="externalLinks/externalLink2.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worksheet" Target="worksheets/sheet378.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 Id="rId44" Type="http://schemas.openxmlformats.org/officeDocument/2006/relationships/worksheet" Target="worksheets/sheet44.xml"/><Relationship Id="rId86" Type="http://schemas.openxmlformats.org/officeDocument/2006/relationships/worksheet" Target="worksheets/sheet86.xml"/><Relationship Id="rId151" Type="http://schemas.openxmlformats.org/officeDocument/2006/relationships/worksheet" Target="worksheets/sheet151.xml"/><Relationship Id="rId389" Type="http://schemas.openxmlformats.org/officeDocument/2006/relationships/worksheet" Target="worksheets/sheet389.xml"/><Relationship Id="rId193" Type="http://schemas.openxmlformats.org/officeDocument/2006/relationships/worksheet" Target="worksheets/sheet193.xml"/><Relationship Id="rId207" Type="http://schemas.openxmlformats.org/officeDocument/2006/relationships/worksheet" Target="worksheets/sheet207.xml"/><Relationship Id="rId249" Type="http://schemas.openxmlformats.org/officeDocument/2006/relationships/worksheet" Target="worksheets/sheet249.xml"/><Relationship Id="rId414" Type="http://schemas.openxmlformats.org/officeDocument/2006/relationships/theme" Target="theme/theme1.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16" Type="http://schemas.openxmlformats.org/officeDocument/2006/relationships/worksheet" Target="worksheets/sheet316.xml"/><Relationship Id="rId55" Type="http://schemas.openxmlformats.org/officeDocument/2006/relationships/worksheet" Target="worksheets/sheet55.xml"/><Relationship Id="rId97" Type="http://schemas.openxmlformats.org/officeDocument/2006/relationships/worksheet" Target="worksheets/sheet97.xml"/><Relationship Id="rId120" Type="http://schemas.openxmlformats.org/officeDocument/2006/relationships/worksheet" Target="worksheets/sheet120.xml"/><Relationship Id="rId358" Type="http://schemas.openxmlformats.org/officeDocument/2006/relationships/worksheet" Target="worksheets/sheet358.xml"/><Relationship Id="rId162" Type="http://schemas.openxmlformats.org/officeDocument/2006/relationships/worksheet" Target="worksheets/sheet162.xml"/><Relationship Id="rId218" Type="http://schemas.openxmlformats.org/officeDocument/2006/relationships/worksheet" Target="worksheets/sheet218.xml"/><Relationship Id="rId271" Type="http://schemas.openxmlformats.org/officeDocument/2006/relationships/worksheet" Target="worksheets/sheet271.xml"/><Relationship Id="rId24" Type="http://schemas.openxmlformats.org/officeDocument/2006/relationships/worksheet" Target="worksheets/sheet24.xml"/><Relationship Id="rId66" Type="http://schemas.openxmlformats.org/officeDocument/2006/relationships/worksheet" Target="worksheets/sheet66.xml"/><Relationship Id="rId131" Type="http://schemas.openxmlformats.org/officeDocument/2006/relationships/worksheet" Target="worksheets/sheet131.xml"/><Relationship Id="rId327" Type="http://schemas.openxmlformats.org/officeDocument/2006/relationships/worksheet" Target="worksheets/sheet327.xml"/><Relationship Id="rId369" Type="http://schemas.openxmlformats.org/officeDocument/2006/relationships/worksheet" Target="worksheets/sheet369.xml"/><Relationship Id="rId173" Type="http://schemas.openxmlformats.org/officeDocument/2006/relationships/worksheet" Target="worksheets/sheet173.xml"/><Relationship Id="rId229" Type="http://schemas.openxmlformats.org/officeDocument/2006/relationships/worksheet" Target="worksheets/sheet229.xml"/><Relationship Id="rId380" Type="http://schemas.openxmlformats.org/officeDocument/2006/relationships/worksheet" Target="worksheets/sheet380.xml"/><Relationship Id="rId240" Type="http://schemas.openxmlformats.org/officeDocument/2006/relationships/worksheet" Target="worksheets/sheet240.xml"/><Relationship Id="rId35" Type="http://schemas.openxmlformats.org/officeDocument/2006/relationships/worksheet" Target="worksheets/sheet35.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38" Type="http://schemas.openxmlformats.org/officeDocument/2006/relationships/worksheet" Target="worksheets/sheet338.xml"/><Relationship Id="rId8" Type="http://schemas.openxmlformats.org/officeDocument/2006/relationships/worksheet" Target="worksheets/sheet8.xml"/><Relationship Id="rId142" Type="http://schemas.openxmlformats.org/officeDocument/2006/relationships/worksheet" Target="worksheets/sheet142.xml"/><Relationship Id="rId184" Type="http://schemas.openxmlformats.org/officeDocument/2006/relationships/worksheet" Target="worksheets/sheet184.xml"/><Relationship Id="rId391" Type="http://schemas.openxmlformats.org/officeDocument/2006/relationships/worksheet" Target="worksheets/sheet391.xml"/><Relationship Id="rId405" Type="http://schemas.openxmlformats.org/officeDocument/2006/relationships/worksheet" Target="worksheets/sheet405.xml"/><Relationship Id="rId251" Type="http://schemas.openxmlformats.org/officeDocument/2006/relationships/worksheet" Target="worksheets/sheet251.xml"/><Relationship Id="rId46" Type="http://schemas.openxmlformats.org/officeDocument/2006/relationships/worksheet" Target="worksheets/sheet46.xml"/><Relationship Id="rId293" Type="http://schemas.openxmlformats.org/officeDocument/2006/relationships/worksheet" Target="worksheets/sheet293.xml"/><Relationship Id="rId307" Type="http://schemas.openxmlformats.org/officeDocument/2006/relationships/worksheet" Target="worksheets/sheet307.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53" Type="http://schemas.openxmlformats.org/officeDocument/2006/relationships/worksheet" Target="worksheets/sheet153.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416" Type="http://schemas.openxmlformats.org/officeDocument/2006/relationships/styles" Target="styles.xml"/><Relationship Id="rId220" Type="http://schemas.openxmlformats.org/officeDocument/2006/relationships/worksheet" Target="worksheets/sheet220.xml"/><Relationship Id="rId15" Type="http://schemas.openxmlformats.org/officeDocument/2006/relationships/worksheet" Target="worksheets/sheet15.xml"/><Relationship Id="rId57" Type="http://schemas.openxmlformats.org/officeDocument/2006/relationships/worksheet" Target="worksheets/sheet57.xml"/><Relationship Id="rId262" Type="http://schemas.openxmlformats.org/officeDocument/2006/relationships/worksheet" Target="worksheets/sheet262.xml"/><Relationship Id="rId318" Type="http://schemas.openxmlformats.org/officeDocument/2006/relationships/worksheet" Target="worksheets/sheet318.xml"/><Relationship Id="rId99" Type="http://schemas.openxmlformats.org/officeDocument/2006/relationships/worksheet" Target="worksheets/sheet99.xml"/><Relationship Id="rId122" Type="http://schemas.openxmlformats.org/officeDocument/2006/relationships/worksheet" Target="worksheets/sheet122.xml"/><Relationship Id="rId164" Type="http://schemas.openxmlformats.org/officeDocument/2006/relationships/worksheet" Target="worksheets/sheet164.xml"/><Relationship Id="rId371" Type="http://schemas.openxmlformats.org/officeDocument/2006/relationships/worksheet" Target="worksheets/sheet371.xml"/><Relationship Id="rId26" Type="http://schemas.openxmlformats.org/officeDocument/2006/relationships/worksheet" Target="worksheets/sheet26.xml"/><Relationship Id="rId231" Type="http://schemas.openxmlformats.org/officeDocument/2006/relationships/worksheet" Target="worksheets/sheet231.xml"/><Relationship Id="rId273" Type="http://schemas.openxmlformats.org/officeDocument/2006/relationships/worksheet" Target="worksheets/sheet273.xml"/><Relationship Id="rId329" Type="http://schemas.openxmlformats.org/officeDocument/2006/relationships/worksheet" Target="worksheets/sheet329.xml"/><Relationship Id="rId68" Type="http://schemas.openxmlformats.org/officeDocument/2006/relationships/worksheet" Target="worksheets/sheet68.xml"/><Relationship Id="rId133" Type="http://schemas.openxmlformats.org/officeDocument/2006/relationships/worksheet" Target="worksheets/sheet133.xml"/><Relationship Id="rId175" Type="http://schemas.openxmlformats.org/officeDocument/2006/relationships/worksheet" Target="worksheets/sheet175.xml"/><Relationship Id="rId340" Type="http://schemas.openxmlformats.org/officeDocument/2006/relationships/worksheet" Target="worksheets/sheet340.xml"/><Relationship Id="rId200" Type="http://schemas.openxmlformats.org/officeDocument/2006/relationships/worksheet" Target="worksheets/sheet200.xml"/><Relationship Id="rId382" Type="http://schemas.openxmlformats.org/officeDocument/2006/relationships/worksheet" Target="worksheets/sheet382.xml"/><Relationship Id="rId242" Type="http://schemas.openxmlformats.org/officeDocument/2006/relationships/worksheet" Target="worksheets/sheet242.xml"/><Relationship Id="rId284" Type="http://schemas.openxmlformats.org/officeDocument/2006/relationships/worksheet" Target="worksheets/sheet284.xml"/><Relationship Id="rId37" Type="http://schemas.openxmlformats.org/officeDocument/2006/relationships/worksheet" Target="worksheets/sheet37.xml"/><Relationship Id="rId79" Type="http://schemas.openxmlformats.org/officeDocument/2006/relationships/worksheet" Target="worksheets/sheet79.xml"/><Relationship Id="rId102" Type="http://schemas.openxmlformats.org/officeDocument/2006/relationships/worksheet" Target="worksheets/sheet102.xml"/><Relationship Id="rId144" Type="http://schemas.openxmlformats.org/officeDocument/2006/relationships/worksheet" Target="worksheets/sheet144.xml"/><Relationship Id="rId90" Type="http://schemas.openxmlformats.org/officeDocument/2006/relationships/worksheet" Target="worksheets/sheet90.xml"/><Relationship Id="rId186" Type="http://schemas.openxmlformats.org/officeDocument/2006/relationships/worksheet" Target="worksheets/sheet186.xml"/><Relationship Id="rId351" Type="http://schemas.openxmlformats.org/officeDocument/2006/relationships/worksheet" Target="worksheets/sheet351.xml"/><Relationship Id="rId393" Type="http://schemas.openxmlformats.org/officeDocument/2006/relationships/worksheet" Target="worksheets/sheet393.xml"/><Relationship Id="rId407" Type="http://schemas.openxmlformats.org/officeDocument/2006/relationships/worksheet" Target="worksheets/sheet407.xml"/><Relationship Id="rId211" Type="http://schemas.openxmlformats.org/officeDocument/2006/relationships/worksheet" Target="worksheets/sheet211.xml"/><Relationship Id="rId253" Type="http://schemas.openxmlformats.org/officeDocument/2006/relationships/worksheet" Target="worksheets/sheet253.xml"/><Relationship Id="rId295" Type="http://schemas.openxmlformats.org/officeDocument/2006/relationships/worksheet" Target="worksheets/sheet295.xml"/><Relationship Id="rId309" Type="http://schemas.openxmlformats.org/officeDocument/2006/relationships/worksheet" Target="worksheets/sheet309.xml"/><Relationship Id="rId48" Type="http://schemas.openxmlformats.org/officeDocument/2006/relationships/worksheet" Target="worksheets/sheet48.xml"/><Relationship Id="rId113" Type="http://schemas.openxmlformats.org/officeDocument/2006/relationships/worksheet" Target="worksheets/sheet113.xml"/><Relationship Id="rId320" Type="http://schemas.openxmlformats.org/officeDocument/2006/relationships/worksheet" Target="worksheets/sheet320.xml"/><Relationship Id="rId155" Type="http://schemas.openxmlformats.org/officeDocument/2006/relationships/worksheet" Target="worksheets/sheet155.xml"/><Relationship Id="rId197" Type="http://schemas.openxmlformats.org/officeDocument/2006/relationships/worksheet" Target="worksheets/sheet197.xml"/><Relationship Id="rId362" Type="http://schemas.openxmlformats.org/officeDocument/2006/relationships/worksheet" Target="worksheets/sheet362.xml"/><Relationship Id="rId418"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105;&#30340;&#25991;&#20214;2021/&#20041;&#21153;2020&#24180;&#23457;/&#29616;&#37329;&#27969;&#37327;&#34920;&#27979;&#3163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esktop-echsvs7\&#21457;&#23637;&#38598;&#22242;2020&#24180;&#23457;\&#25105;&#30340;&#25991;&#20214;2021\&#20041;&#21153;2020&#24180;&#23457;\&#29616;&#37329;&#27969;&#37327;&#34920;&#27979;&#316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row r="281">
          <cell r="C281"/>
        </row>
        <row r="282">
          <cell r="C282"/>
        </row>
        <row r="283">
          <cell r="C283"/>
        </row>
        <row r="284">
          <cell r="C284"/>
        </row>
        <row r="285">
          <cell r="C285"/>
        </row>
        <row r="286">
          <cell r="C286"/>
        </row>
        <row r="287">
          <cell r="C287"/>
        </row>
        <row r="288">
          <cell r="C288"/>
        </row>
        <row r="289">
          <cell r="C289"/>
        </row>
        <row r="290">
          <cell r="C290"/>
        </row>
        <row r="291">
          <cell r="C291"/>
        </row>
        <row r="292">
          <cell r="C292"/>
        </row>
        <row r="293">
          <cell r="C293"/>
        </row>
        <row r="294">
          <cell r="C294"/>
        </row>
        <row r="295">
          <cell r="C295"/>
        </row>
        <row r="296">
          <cell r="C296"/>
        </row>
        <row r="297">
          <cell r="C297"/>
        </row>
        <row r="298">
          <cell r="C298"/>
        </row>
        <row r="299">
          <cell r="C299"/>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义乌农村商业银行</v>
          </cell>
        </row>
        <row r="5">
          <cell r="C5">
            <v>100208</v>
          </cell>
          <cell r="D5" t="str">
            <v>交通银行</v>
          </cell>
        </row>
        <row r="6">
          <cell r="C6">
            <v>100215</v>
          </cell>
          <cell r="D6" t="str">
            <v>稠州商业银行</v>
          </cell>
        </row>
        <row r="7">
          <cell r="C7">
            <v>100217</v>
          </cell>
          <cell r="D7" t="str">
            <v>农业发展银行</v>
          </cell>
        </row>
        <row r="8">
          <cell r="C8">
            <v>1122</v>
          </cell>
          <cell r="D8" t="str">
            <v>应收账款</v>
          </cell>
        </row>
        <row r="9">
          <cell r="C9">
            <v>112202</v>
          </cell>
          <cell r="D9" t="str">
            <v>应收经营款</v>
          </cell>
        </row>
        <row r="10">
          <cell r="C10">
            <v>1123</v>
          </cell>
          <cell r="D10" t="str">
            <v>预付账款</v>
          </cell>
        </row>
        <row r="11">
          <cell r="C11">
            <v>112399</v>
          </cell>
          <cell r="D11" t="str">
            <v>其他</v>
          </cell>
        </row>
        <row r="12">
          <cell r="C12">
            <v>1131</v>
          </cell>
          <cell r="D12" t="str">
            <v>应收股利</v>
          </cell>
        </row>
        <row r="13">
          <cell r="C13">
            <v>1221</v>
          </cell>
          <cell r="D13" t="str">
            <v>其他应收款</v>
          </cell>
        </row>
        <row r="14">
          <cell r="C14">
            <v>122105</v>
          </cell>
          <cell r="D14" t="str">
            <v>应收补贴款</v>
          </cell>
        </row>
        <row r="15">
          <cell r="C15">
            <v>12210504</v>
          </cell>
          <cell r="D15" t="str">
            <v>财政补贴</v>
          </cell>
        </row>
        <row r="16">
          <cell r="C16">
            <v>1221050401</v>
          </cell>
          <cell r="D16" t="str">
            <v>本年应补数</v>
          </cell>
        </row>
        <row r="17">
          <cell r="C17">
            <v>1221050402</v>
          </cell>
          <cell r="D17" t="str">
            <v>补今年应补数</v>
          </cell>
        </row>
        <row r="18">
          <cell r="C18">
            <v>1221050403</v>
          </cell>
          <cell r="D18" t="str">
            <v>已补上年未补数</v>
          </cell>
        </row>
        <row r="19">
          <cell r="C19">
            <v>1221050404</v>
          </cell>
          <cell r="D19" t="str">
            <v>上年应补未补数</v>
          </cell>
        </row>
        <row r="20">
          <cell r="C20">
            <v>122199</v>
          </cell>
          <cell r="D20" t="str">
            <v>其他</v>
          </cell>
        </row>
        <row r="21">
          <cell r="C21">
            <v>1231</v>
          </cell>
          <cell r="D21" t="str">
            <v>坏账准备</v>
          </cell>
        </row>
        <row r="22">
          <cell r="C22">
            <v>123101</v>
          </cell>
          <cell r="D22" t="str">
            <v>应收帐款计提</v>
          </cell>
        </row>
        <row r="23">
          <cell r="C23">
            <v>123102</v>
          </cell>
          <cell r="D23" t="str">
            <v>其他应收款计提</v>
          </cell>
        </row>
        <row r="24">
          <cell r="C24">
            <v>1403</v>
          </cell>
          <cell r="D24" t="str">
            <v>原材料</v>
          </cell>
        </row>
        <row r="25">
          <cell r="C25">
            <v>140397</v>
          </cell>
          <cell r="D25" t="str">
            <v>职工食堂</v>
          </cell>
        </row>
        <row r="26">
          <cell r="C26">
            <v>1405</v>
          </cell>
          <cell r="D26" t="str">
            <v>库存商品</v>
          </cell>
        </row>
        <row r="27">
          <cell r="C27">
            <v>140502</v>
          </cell>
          <cell r="D27" t="str">
            <v>粮油库存</v>
          </cell>
        </row>
        <row r="28">
          <cell r="C28">
            <v>14050203</v>
          </cell>
          <cell r="D28" t="str">
            <v>储备粮油</v>
          </cell>
        </row>
        <row r="29">
          <cell r="C29">
            <v>1407</v>
          </cell>
          <cell r="D29" t="str">
            <v>其他长期资产</v>
          </cell>
        </row>
        <row r="30">
          <cell r="C30">
            <v>1511</v>
          </cell>
          <cell r="D30" t="str">
            <v>长期股权投资</v>
          </cell>
        </row>
        <row r="31">
          <cell r="C31">
            <v>151101</v>
          </cell>
          <cell r="D31" t="str">
            <v>成本法</v>
          </cell>
        </row>
        <row r="32">
          <cell r="C32">
            <v>15110101</v>
          </cell>
          <cell r="D32" t="str">
            <v>投资成本</v>
          </cell>
        </row>
        <row r="33">
          <cell r="C33">
            <v>151102</v>
          </cell>
          <cell r="D33" t="str">
            <v>权益法</v>
          </cell>
        </row>
        <row r="34">
          <cell r="C34">
            <v>15110299</v>
          </cell>
          <cell r="D34" t="str">
            <v>其它</v>
          </cell>
        </row>
        <row r="35">
          <cell r="C35">
            <v>1521</v>
          </cell>
          <cell r="D35" t="str">
            <v>投资性房地产</v>
          </cell>
        </row>
        <row r="36">
          <cell r="C36">
            <v>152101</v>
          </cell>
          <cell r="D36" t="str">
            <v>房屋及建筑物购置成本</v>
          </cell>
        </row>
        <row r="37">
          <cell r="C37">
            <v>152102</v>
          </cell>
          <cell r="D37" t="str">
            <v>房屋及建筑物累计折旧</v>
          </cell>
        </row>
        <row r="38">
          <cell r="C38">
            <v>1601</v>
          </cell>
          <cell r="D38" t="str">
            <v>固定资产</v>
          </cell>
        </row>
        <row r="39">
          <cell r="C39">
            <v>160101</v>
          </cell>
          <cell r="D39" t="str">
            <v>房屋及建筑物</v>
          </cell>
        </row>
        <row r="40">
          <cell r="C40">
            <v>160102</v>
          </cell>
          <cell r="D40" t="str">
            <v>通用设备</v>
          </cell>
        </row>
        <row r="41">
          <cell r="C41">
            <v>1602</v>
          </cell>
          <cell r="D41" t="str">
            <v>累计折旧</v>
          </cell>
        </row>
        <row r="42">
          <cell r="C42">
            <v>160201</v>
          </cell>
          <cell r="D42" t="str">
            <v>房屋及建筑物</v>
          </cell>
        </row>
        <row r="43">
          <cell r="C43">
            <v>160202</v>
          </cell>
          <cell r="D43" t="str">
            <v>通用设备</v>
          </cell>
        </row>
        <row r="44">
          <cell r="C44">
            <v>1604</v>
          </cell>
          <cell r="D44" t="str">
            <v>在建工程</v>
          </cell>
        </row>
        <row r="45">
          <cell r="C45">
            <v>160402</v>
          </cell>
          <cell r="D45" t="str">
            <v>前期工程费</v>
          </cell>
        </row>
        <row r="46">
          <cell r="C46">
            <v>16040202</v>
          </cell>
          <cell r="D46" t="str">
            <v>施工招投标费用</v>
          </cell>
        </row>
        <row r="47">
          <cell r="C47">
            <v>16040205</v>
          </cell>
          <cell r="D47" t="str">
            <v>各项规费</v>
          </cell>
        </row>
        <row r="48">
          <cell r="C48">
            <v>16040206</v>
          </cell>
          <cell r="D48" t="str">
            <v>其他</v>
          </cell>
        </row>
        <row r="49">
          <cell r="C49">
            <v>1606</v>
          </cell>
          <cell r="D49" t="str">
            <v>固定资产清理</v>
          </cell>
        </row>
        <row r="50">
          <cell r="C50">
            <v>1701</v>
          </cell>
          <cell r="D50" t="str">
            <v>无形资产</v>
          </cell>
        </row>
        <row r="51">
          <cell r="C51">
            <v>170101</v>
          </cell>
          <cell r="D51" t="str">
            <v>土地使用权</v>
          </cell>
        </row>
        <row r="52">
          <cell r="C52">
            <v>1702</v>
          </cell>
          <cell r="D52" t="str">
            <v>累计摊销</v>
          </cell>
        </row>
        <row r="53">
          <cell r="C53">
            <v>170201</v>
          </cell>
          <cell r="D53" t="str">
            <v>土地使用权</v>
          </cell>
        </row>
        <row r="54">
          <cell r="C54" t="str">
            <v>资产小计</v>
          </cell>
        </row>
        <row r="55">
          <cell r="C55">
            <v>2001</v>
          </cell>
          <cell r="D55" t="str">
            <v>短期借款</v>
          </cell>
        </row>
        <row r="56">
          <cell r="C56">
            <v>200101</v>
          </cell>
          <cell r="D56" t="str">
            <v>信用借款</v>
          </cell>
        </row>
        <row r="57">
          <cell r="C57">
            <v>2202</v>
          </cell>
          <cell r="D57" t="str">
            <v>应付账款</v>
          </cell>
        </row>
        <row r="58">
          <cell r="C58">
            <v>220201</v>
          </cell>
          <cell r="D58" t="str">
            <v>供应商往来</v>
          </cell>
        </row>
        <row r="59">
          <cell r="C59">
            <v>2203</v>
          </cell>
          <cell r="D59" t="str">
            <v>预收账款</v>
          </cell>
        </row>
        <row r="60">
          <cell r="C60">
            <v>220302</v>
          </cell>
          <cell r="D60" t="str">
            <v>预收货款</v>
          </cell>
        </row>
        <row r="61">
          <cell r="C61">
            <v>220397</v>
          </cell>
          <cell r="D61" t="str">
            <v>预收餐卡款</v>
          </cell>
        </row>
        <row r="62">
          <cell r="C62">
            <v>2211</v>
          </cell>
          <cell r="D62" t="str">
            <v>应付职工薪酬</v>
          </cell>
        </row>
        <row r="63">
          <cell r="C63">
            <v>221101</v>
          </cell>
          <cell r="D63" t="str">
            <v>应付工资</v>
          </cell>
        </row>
        <row r="64">
          <cell r="C64">
            <v>22110101</v>
          </cell>
          <cell r="D64" t="str">
            <v>员工工资</v>
          </cell>
        </row>
        <row r="65">
          <cell r="C65">
            <v>2211010101</v>
          </cell>
          <cell r="D65" t="str">
            <v>基本工资</v>
          </cell>
        </row>
        <row r="66">
          <cell r="C66">
            <v>221102</v>
          </cell>
          <cell r="D66" t="str">
            <v>职工福利</v>
          </cell>
        </row>
        <row r="67">
          <cell r="C67">
            <v>221103</v>
          </cell>
          <cell r="D67" t="str">
            <v>社会保险费</v>
          </cell>
        </row>
        <row r="68">
          <cell r="C68">
            <v>22110301</v>
          </cell>
          <cell r="D68" t="str">
            <v>养老保险</v>
          </cell>
        </row>
        <row r="69">
          <cell r="C69">
            <v>22110302</v>
          </cell>
          <cell r="D69" t="str">
            <v>失业保险</v>
          </cell>
        </row>
        <row r="70">
          <cell r="C70">
            <v>22110305</v>
          </cell>
          <cell r="D70" t="str">
            <v>医疗保险</v>
          </cell>
        </row>
        <row r="71">
          <cell r="C71">
            <v>22110306</v>
          </cell>
          <cell r="D71" t="str">
            <v>企业年金</v>
          </cell>
        </row>
        <row r="72">
          <cell r="C72">
            <v>221104</v>
          </cell>
          <cell r="D72" t="str">
            <v>住房公积金</v>
          </cell>
        </row>
        <row r="73">
          <cell r="C73">
            <v>221106</v>
          </cell>
          <cell r="D73" t="str">
            <v>工会经费</v>
          </cell>
        </row>
        <row r="74">
          <cell r="C74">
            <v>221107</v>
          </cell>
          <cell r="D74" t="str">
            <v>教育经费</v>
          </cell>
        </row>
        <row r="75">
          <cell r="C75">
            <v>2221</v>
          </cell>
          <cell r="D75" t="str">
            <v>应交税费</v>
          </cell>
        </row>
        <row r="76">
          <cell r="C76">
            <v>222103</v>
          </cell>
          <cell r="D76" t="str">
            <v>应交城市维护建设税</v>
          </cell>
        </row>
        <row r="77">
          <cell r="C77">
            <v>222105</v>
          </cell>
          <cell r="D77" t="str">
            <v>应交企业所得税</v>
          </cell>
        </row>
        <row r="78">
          <cell r="C78">
            <v>222106</v>
          </cell>
          <cell r="D78" t="str">
            <v>应交个人所得税</v>
          </cell>
        </row>
        <row r="79">
          <cell r="C79">
            <v>222107</v>
          </cell>
          <cell r="D79" t="str">
            <v>房产税</v>
          </cell>
        </row>
        <row r="80">
          <cell r="C80">
            <v>222108</v>
          </cell>
          <cell r="D80" t="str">
            <v>印花税</v>
          </cell>
        </row>
        <row r="81">
          <cell r="C81">
            <v>222111</v>
          </cell>
          <cell r="D81" t="str">
            <v>土地使用税</v>
          </cell>
        </row>
        <row r="82">
          <cell r="C82">
            <v>222114</v>
          </cell>
          <cell r="D82" t="str">
            <v>应交教育费附加</v>
          </cell>
        </row>
        <row r="83">
          <cell r="C83">
            <v>222115</v>
          </cell>
          <cell r="D83" t="str">
            <v>应交地方教育附加</v>
          </cell>
        </row>
        <row r="84">
          <cell r="C84">
            <v>222125</v>
          </cell>
          <cell r="D84" t="str">
            <v>简易计税</v>
          </cell>
        </row>
        <row r="85">
          <cell r="C85">
            <v>2241</v>
          </cell>
          <cell r="D85" t="str">
            <v>其他应付款</v>
          </cell>
        </row>
        <row r="86">
          <cell r="C86">
            <v>224101</v>
          </cell>
          <cell r="D86" t="str">
            <v>单位往来</v>
          </cell>
        </row>
        <row r="87">
          <cell r="C87">
            <v>224113</v>
          </cell>
          <cell r="D87" t="str">
            <v>预提费用</v>
          </cell>
        </row>
        <row r="88">
          <cell r="C88">
            <v>224123</v>
          </cell>
          <cell r="D88" t="str">
            <v>不予支付的储备粮款</v>
          </cell>
        </row>
        <row r="89">
          <cell r="C89">
            <v>224124</v>
          </cell>
          <cell r="D89" t="str">
            <v>待拨所属补贴</v>
          </cell>
        </row>
        <row r="90">
          <cell r="C90">
            <v>224125</v>
          </cell>
          <cell r="D90" t="str">
            <v>应交财政差价款</v>
          </cell>
        </row>
        <row r="91">
          <cell r="C91">
            <v>224197</v>
          </cell>
          <cell r="D91" t="str">
            <v>职工食堂</v>
          </cell>
        </row>
        <row r="92">
          <cell r="C92">
            <v>22419701</v>
          </cell>
          <cell r="D92" t="str">
            <v>收入</v>
          </cell>
        </row>
        <row r="93">
          <cell r="C93">
            <v>22419702</v>
          </cell>
          <cell r="D93" t="str">
            <v>支出</v>
          </cell>
        </row>
        <row r="94">
          <cell r="C94">
            <v>22419703</v>
          </cell>
          <cell r="D94" t="str">
            <v>盈余</v>
          </cell>
        </row>
        <row r="95">
          <cell r="C95">
            <v>2401</v>
          </cell>
          <cell r="D95" t="str">
            <v>递延收益</v>
          </cell>
        </row>
        <row r="96">
          <cell r="C96">
            <v>2501</v>
          </cell>
          <cell r="D96" t="str">
            <v>长期借款</v>
          </cell>
        </row>
        <row r="97">
          <cell r="C97">
            <v>250101</v>
          </cell>
          <cell r="D97" t="str">
            <v>信用借款</v>
          </cell>
        </row>
        <row r="98">
          <cell r="C98">
            <v>2701</v>
          </cell>
          <cell r="D98" t="str">
            <v>长期应付款</v>
          </cell>
        </row>
        <row r="99">
          <cell r="C99">
            <v>270102</v>
          </cell>
          <cell r="D99" t="str">
            <v>各项基金</v>
          </cell>
        </row>
        <row r="100">
          <cell r="C100">
            <v>2711</v>
          </cell>
          <cell r="D100" t="str">
            <v>专项应付款</v>
          </cell>
        </row>
        <row r="101">
          <cell r="C101">
            <v>271199</v>
          </cell>
          <cell r="D101" t="str">
            <v>其他</v>
          </cell>
        </row>
        <row r="102">
          <cell r="C102" t="str">
            <v>负债小计</v>
          </cell>
        </row>
        <row r="103">
          <cell r="C103">
            <v>4001</v>
          </cell>
          <cell r="D103" t="str">
            <v>实收资本（或股本）</v>
          </cell>
        </row>
        <row r="104">
          <cell r="C104">
            <v>400101</v>
          </cell>
          <cell r="D104" t="str">
            <v>国家资本</v>
          </cell>
        </row>
        <row r="105">
          <cell r="C105">
            <v>4002</v>
          </cell>
          <cell r="D105" t="str">
            <v>资本公积</v>
          </cell>
        </row>
        <row r="106">
          <cell r="C106">
            <v>400201</v>
          </cell>
          <cell r="D106" t="str">
            <v>资本（或股本）溢价</v>
          </cell>
        </row>
        <row r="107">
          <cell r="C107">
            <v>400299</v>
          </cell>
          <cell r="D107" t="str">
            <v>其他资本公积</v>
          </cell>
        </row>
        <row r="108">
          <cell r="C108">
            <v>4101</v>
          </cell>
          <cell r="D108" t="str">
            <v>盈余公积</v>
          </cell>
        </row>
        <row r="109">
          <cell r="C109">
            <v>410101</v>
          </cell>
          <cell r="D109" t="str">
            <v>法定盈余公积</v>
          </cell>
        </row>
        <row r="110">
          <cell r="C110">
            <v>4103</v>
          </cell>
          <cell r="D110" t="str">
            <v>本年利润</v>
          </cell>
        </row>
        <row r="111">
          <cell r="C111">
            <v>4104</v>
          </cell>
          <cell r="D111" t="str">
            <v>利润分配</v>
          </cell>
        </row>
        <row r="112">
          <cell r="C112">
            <v>410401</v>
          </cell>
          <cell r="D112" t="str">
            <v>未分配利润</v>
          </cell>
        </row>
        <row r="113">
          <cell r="C113">
            <v>410403</v>
          </cell>
          <cell r="D113" t="str">
            <v>提取法定盈余公积</v>
          </cell>
        </row>
        <row r="114">
          <cell r="C114" t="str">
            <v>权益小计</v>
          </cell>
        </row>
        <row r="115">
          <cell r="C115">
            <v>6001</v>
          </cell>
          <cell r="D115" t="str">
            <v>主营业务收入</v>
          </cell>
        </row>
        <row r="116">
          <cell r="C116">
            <v>600103</v>
          </cell>
          <cell r="D116" t="str">
            <v>粮油收入</v>
          </cell>
        </row>
        <row r="117">
          <cell r="C117">
            <v>60010399</v>
          </cell>
          <cell r="D117" t="str">
            <v>其他收入</v>
          </cell>
        </row>
        <row r="118">
          <cell r="C118">
            <v>6051</v>
          </cell>
          <cell r="D118" t="str">
            <v>其他业务收入</v>
          </cell>
        </row>
        <row r="119">
          <cell r="C119">
            <v>605102</v>
          </cell>
          <cell r="D119" t="str">
            <v>租赁收入</v>
          </cell>
        </row>
        <row r="120">
          <cell r="C120">
            <v>605199</v>
          </cell>
          <cell r="D120" t="str">
            <v>其他收入</v>
          </cell>
        </row>
        <row r="121">
          <cell r="C121">
            <v>6111</v>
          </cell>
          <cell r="D121" t="str">
            <v>投资收益</v>
          </cell>
        </row>
        <row r="122">
          <cell r="C122">
            <v>611104</v>
          </cell>
          <cell r="D122" t="str">
            <v>长期股权投资收益</v>
          </cell>
        </row>
        <row r="123">
          <cell r="C123">
            <v>61110402</v>
          </cell>
          <cell r="D123" t="str">
            <v>按权益法核算的投资收益</v>
          </cell>
        </row>
        <row r="124">
          <cell r="C124">
            <v>6113</v>
          </cell>
          <cell r="D124" t="str">
            <v>其他收益</v>
          </cell>
        </row>
        <row r="125">
          <cell r="C125">
            <v>611399</v>
          </cell>
          <cell r="D125" t="str">
            <v>其他</v>
          </cell>
        </row>
        <row r="126">
          <cell r="C126">
            <v>6301</v>
          </cell>
          <cell r="D126" t="str">
            <v>营业外收入</v>
          </cell>
        </row>
        <row r="127">
          <cell r="C127">
            <v>630104</v>
          </cell>
          <cell r="D127" t="str">
            <v>补贴收入</v>
          </cell>
        </row>
        <row r="128">
          <cell r="C128">
            <v>630199</v>
          </cell>
          <cell r="D128" t="str">
            <v>其他</v>
          </cell>
        </row>
        <row r="129">
          <cell r="C129">
            <v>6401</v>
          </cell>
          <cell r="D129" t="str">
            <v>主营业务成本</v>
          </cell>
        </row>
        <row r="130">
          <cell r="C130">
            <v>640102</v>
          </cell>
          <cell r="D130" t="str">
            <v>粮食类成本</v>
          </cell>
        </row>
        <row r="131">
          <cell r="C131">
            <v>64010299</v>
          </cell>
          <cell r="D131" t="str">
            <v>其他</v>
          </cell>
        </row>
        <row r="132">
          <cell r="C132">
            <v>6402</v>
          </cell>
          <cell r="D132" t="str">
            <v>其他业务成本</v>
          </cell>
        </row>
        <row r="133">
          <cell r="C133">
            <v>640299</v>
          </cell>
          <cell r="D133" t="str">
            <v>其他</v>
          </cell>
        </row>
        <row r="134">
          <cell r="C134">
            <v>6403</v>
          </cell>
          <cell r="D134" t="str">
            <v>税金及附加</v>
          </cell>
        </row>
        <row r="135">
          <cell r="C135">
            <v>640302</v>
          </cell>
          <cell r="D135" t="str">
            <v>其他业务</v>
          </cell>
        </row>
        <row r="136">
          <cell r="C136">
            <v>6601</v>
          </cell>
          <cell r="D136" t="str">
            <v>销售费用</v>
          </cell>
        </row>
        <row r="137">
          <cell r="C137">
            <v>660115</v>
          </cell>
          <cell r="D137" t="str">
            <v>运杂费</v>
          </cell>
        </row>
        <row r="138">
          <cell r="C138">
            <v>660124</v>
          </cell>
          <cell r="D138" t="str">
            <v>保管费</v>
          </cell>
        </row>
        <row r="139">
          <cell r="C139">
            <v>660147</v>
          </cell>
          <cell r="D139" t="str">
            <v>商品损耗</v>
          </cell>
        </row>
        <row r="140">
          <cell r="C140">
            <v>660148</v>
          </cell>
          <cell r="D140" t="str">
            <v>收购费用</v>
          </cell>
        </row>
        <row r="141">
          <cell r="C141">
            <v>660199</v>
          </cell>
          <cell r="D141" t="str">
            <v>其他</v>
          </cell>
        </row>
        <row r="142">
          <cell r="C142">
            <v>6602</v>
          </cell>
          <cell r="D142" t="str">
            <v>管理费用</v>
          </cell>
        </row>
        <row r="143">
          <cell r="C143">
            <v>660201</v>
          </cell>
          <cell r="D143" t="str">
            <v>折旧费</v>
          </cell>
        </row>
        <row r="144">
          <cell r="C144">
            <v>660202</v>
          </cell>
          <cell r="D144" t="str">
            <v>低值易耗品摊销</v>
          </cell>
        </row>
        <row r="145">
          <cell r="C145">
            <v>660205</v>
          </cell>
          <cell r="D145" t="str">
            <v>工资</v>
          </cell>
        </row>
        <row r="146">
          <cell r="C146">
            <v>660206</v>
          </cell>
          <cell r="D146" t="str">
            <v>福利费</v>
          </cell>
        </row>
        <row r="147">
          <cell r="C147">
            <v>660207</v>
          </cell>
          <cell r="D147" t="str">
            <v>工会经费</v>
          </cell>
        </row>
        <row r="148">
          <cell r="C148">
            <v>660209</v>
          </cell>
          <cell r="D148" t="str">
            <v>住房公积金</v>
          </cell>
        </row>
        <row r="149">
          <cell r="C149">
            <v>660210</v>
          </cell>
          <cell r="D149" t="str">
            <v>社会保险费</v>
          </cell>
        </row>
        <row r="150">
          <cell r="C150">
            <v>660212</v>
          </cell>
          <cell r="D150" t="str">
            <v>差旅费</v>
          </cell>
        </row>
        <row r="151">
          <cell r="C151">
            <v>660213</v>
          </cell>
          <cell r="D151" t="str">
            <v>业务招待费</v>
          </cell>
        </row>
        <row r="152">
          <cell r="C152">
            <v>660215</v>
          </cell>
          <cell r="D152" t="str">
            <v>邮电费</v>
          </cell>
        </row>
        <row r="153">
          <cell r="C153">
            <v>660217</v>
          </cell>
          <cell r="D153" t="str">
            <v>咨询顾问费</v>
          </cell>
        </row>
        <row r="154">
          <cell r="C154">
            <v>660219</v>
          </cell>
          <cell r="D154" t="str">
            <v>聘请中介机构费用</v>
          </cell>
        </row>
        <row r="155">
          <cell r="C155">
            <v>660221</v>
          </cell>
          <cell r="D155" t="str">
            <v>办公费</v>
          </cell>
        </row>
        <row r="156">
          <cell r="C156">
            <v>660225</v>
          </cell>
          <cell r="D156" t="str">
            <v>创建费用</v>
          </cell>
        </row>
        <row r="157">
          <cell r="C157">
            <v>660226</v>
          </cell>
          <cell r="D157" t="str">
            <v>保险费</v>
          </cell>
        </row>
        <row r="158">
          <cell r="C158">
            <v>660229</v>
          </cell>
          <cell r="D158" t="str">
            <v>水电费</v>
          </cell>
        </row>
        <row r="159">
          <cell r="C159">
            <v>660231</v>
          </cell>
          <cell r="D159" t="str">
            <v>书刊费</v>
          </cell>
        </row>
        <row r="160">
          <cell r="C160">
            <v>660247</v>
          </cell>
          <cell r="D160" t="str">
            <v>土地使用权摊销</v>
          </cell>
        </row>
        <row r="161">
          <cell r="C161">
            <v>660251</v>
          </cell>
          <cell r="D161" t="str">
            <v>党建工作经费</v>
          </cell>
        </row>
        <row r="162">
          <cell r="C162">
            <v>660299</v>
          </cell>
          <cell r="D162" t="str">
            <v>其他</v>
          </cell>
        </row>
        <row r="163">
          <cell r="C163">
            <v>6603</v>
          </cell>
          <cell r="D163" t="str">
            <v>财务费用</v>
          </cell>
        </row>
        <row r="164">
          <cell r="C164">
            <v>660301</v>
          </cell>
          <cell r="D164" t="str">
            <v>利息</v>
          </cell>
        </row>
        <row r="165">
          <cell r="C165">
            <v>66030101</v>
          </cell>
          <cell r="D165" t="str">
            <v>利息收入</v>
          </cell>
        </row>
        <row r="166">
          <cell r="C166">
            <v>66030102</v>
          </cell>
          <cell r="D166" t="str">
            <v>利息支出</v>
          </cell>
        </row>
        <row r="167">
          <cell r="C167">
            <v>6603010201</v>
          </cell>
          <cell r="D167" t="str">
            <v>银行借款利息</v>
          </cell>
        </row>
        <row r="168">
          <cell r="C168">
            <v>660304</v>
          </cell>
          <cell r="D168" t="str">
            <v>工本手续费</v>
          </cell>
        </row>
        <row r="169">
          <cell r="C169">
            <v>6711</v>
          </cell>
          <cell r="D169" t="str">
            <v>营业外支出</v>
          </cell>
        </row>
        <row r="170">
          <cell r="C170">
            <v>671101</v>
          </cell>
          <cell r="D170" t="str">
            <v>非流动资产处置损失</v>
          </cell>
        </row>
        <row r="171">
          <cell r="C171">
            <v>6721</v>
          </cell>
          <cell r="D171" t="str">
            <v>抵扣销售收入的应交款</v>
          </cell>
        </row>
        <row r="172">
          <cell r="C172">
            <v>6801</v>
          </cell>
          <cell r="D172" t="str">
            <v>所得税费用</v>
          </cell>
        </row>
        <row r="173">
          <cell r="C173">
            <v>680101</v>
          </cell>
          <cell r="D173" t="str">
            <v>当期所得税</v>
          </cell>
        </row>
        <row r="174">
          <cell r="C174">
            <v>1001</v>
          </cell>
          <cell r="D174" t="str">
            <v>库存现金</v>
          </cell>
        </row>
        <row r="175">
          <cell r="C175">
            <v>1002</v>
          </cell>
          <cell r="D175" t="str">
            <v>银行存款</v>
          </cell>
        </row>
        <row r="176">
          <cell r="C176">
            <v>100215</v>
          </cell>
          <cell r="D176" t="str">
            <v>稠州商业银行</v>
          </cell>
        </row>
        <row r="177">
          <cell r="C177">
            <v>1122</v>
          </cell>
          <cell r="D177" t="str">
            <v>应收账款</v>
          </cell>
        </row>
        <row r="178">
          <cell r="C178">
            <v>112202</v>
          </cell>
          <cell r="D178" t="str">
            <v>应收经营款</v>
          </cell>
        </row>
        <row r="179">
          <cell r="C179">
            <v>1221</v>
          </cell>
          <cell r="D179" t="str">
            <v>其他应收款</v>
          </cell>
        </row>
        <row r="180">
          <cell r="C180">
            <v>122199</v>
          </cell>
          <cell r="D180" t="str">
            <v>其他</v>
          </cell>
        </row>
        <row r="181">
          <cell r="C181">
            <v>1601</v>
          </cell>
          <cell r="D181" t="str">
            <v>固定资产</v>
          </cell>
        </row>
        <row r="182">
          <cell r="C182">
            <v>160102</v>
          </cell>
          <cell r="D182" t="str">
            <v>通用设备</v>
          </cell>
        </row>
        <row r="183">
          <cell r="C183">
            <v>1602</v>
          </cell>
          <cell r="D183" t="str">
            <v>累计折旧</v>
          </cell>
        </row>
        <row r="184">
          <cell r="C184">
            <v>160202</v>
          </cell>
          <cell r="D184" t="str">
            <v>通用设备</v>
          </cell>
        </row>
        <row r="185">
          <cell r="C185" t="str">
            <v>资产小计</v>
          </cell>
        </row>
        <row r="186">
          <cell r="C186">
            <v>2211</v>
          </cell>
          <cell r="D186" t="str">
            <v>应付职工薪酬</v>
          </cell>
        </row>
        <row r="187">
          <cell r="C187">
            <v>221101</v>
          </cell>
          <cell r="D187" t="str">
            <v>应付工资</v>
          </cell>
        </row>
        <row r="188">
          <cell r="C188">
            <v>22110101</v>
          </cell>
          <cell r="D188" t="str">
            <v>员工工资</v>
          </cell>
        </row>
        <row r="189">
          <cell r="C189">
            <v>2211010101</v>
          </cell>
          <cell r="D189" t="str">
            <v>基本工资</v>
          </cell>
        </row>
        <row r="190">
          <cell r="C190">
            <v>221102</v>
          </cell>
          <cell r="D190" t="str">
            <v>职工福利</v>
          </cell>
        </row>
        <row r="191">
          <cell r="C191">
            <v>221103</v>
          </cell>
          <cell r="D191" t="str">
            <v>社会保险费</v>
          </cell>
        </row>
        <row r="192">
          <cell r="C192">
            <v>22110301</v>
          </cell>
          <cell r="D192" t="str">
            <v>养老保险</v>
          </cell>
        </row>
        <row r="193">
          <cell r="C193">
            <v>22110302</v>
          </cell>
          <cell r="D193" t="str">
            <v>失业保险</v>
          </cell>
        </row>
        <row r="194">
          <cell r="C194">
            <v>22110305</v>
          </cell>
          <cell r="D194" t="str">
            <v>医疗保险</v>
          </cell>
        </row>
        <row r="195">
          <cell r="C195">
            <v>22110306</v>
          </cell>
          <cell r="D195" t="str">
            <v>企业年金</v>
          </cell>
        </row>
        <row r="196">
          <cell r="C196">
            <v>221104</v>
          </cell>
          <cell r="D196" t="str">
            <v>住房公积金</v>
          </cell>
        </row>
        <row r="197">
          <cell r="C197">
            <v>221106</v>
          </cell>
          <cell r="D197" t="str">
            <v>工会经费</v>
          </cell>
        </row>
        <row r="198">
          <cell r="C198">
            <v>221107</v>
          </cell>
          <cell r="D198" t="str">
            <v>教育经费</v>
          </cell>
        </row>
        <row r="199">
          <cell r="C199">
            <v>2221</v>
          </cell>
          <cell r="D199" t="str">
            <v>应交税费</v>
          </cell>
        </row>
        <row r="200">
          <cell r="C200">
            <v>222103</v>
          </cell>
          <cell r="D200" t="str">
            <v>应交城市维护建设税</v>
          </cell>
        </row>
        <row r="201">
          <cell r="C201">
            <v>222105</v>
          </cell>
          <cell r="D201" t="str">
            <v>应交企业所得税</v>
          </cell>
        </row>
        <row r="202">
          <cell r="C202">
            <v>222106</v>
          </cell>
          <cell r="D202" t="str">
            <v>应交个人所得税</v>
          </cell>
        </row>
        <row r="203">
          <cell r="C203">
            <v>222108</v>
          </cell>
          <cell r="D203" t="str">
            <v>印花税</v>
          </cell>
        </row>
        <row r="204">
          <cell r="C204">
            <v>222114</v>
          </cell>
          <cell r="D204" t="str">
            <v>应交教育费附加</v>
          </cell>
        </row>
        <row r="205">
          <cell r="C205">
            <v>222115</v>
          </cell>
          <cell r="D205" t="str">
            <v>应交地方教育附加</v>
          </cell>
        </row>
        <row r="206">
          <cell r="C206">
            <v>222125</v>
          </cell>
          <cell r="D206" t="str">
            <v>简易计税</v>
          </cell>
        </row>
        <row r="207">
          <cell r="C207">
            <v>2241</v>
          </cell>
          <cell r="D207" t="str">
            <v>其他应付款</v>
          </cell>
        </row>
        <row r="208">
          <cell r="C208">
            <v>224101</v>
          </cell>
          <cell r="D208" t="str">
            <v>单位往来</v>
          </cell>
        </row>
        <row r="209">
          <cell r="C209">
            <v>224113</v>
          </cell>
          <cell r="D209" t="str">
            <v>预提费用</v>
          </cell>
        </row>
        <row r="210">
          <cell r="C210">
            <v>2401</v>
          </cell>
          <cell r="D210" t="str">
            <v>递延收益</v>
          </cell>
        </row>
        <row r="211">
          <cell r="C211" t="str">
            <v>负债小计</v>
          </cell>
        </row>
        <row r="212">
          <cell r="C212">
            <v>4001</v>
          </cell>
          <cell r="D212" t="str">
            <v>实收资本（或股本）</v>
          </cell>
        </row>
        <row r="213">
          <cell r="C213">
            <v>400101</v>
          </cell>
          <cell r="D213" t="str">
            <v>国家资本</v>
          </cell>
        </row>
        <row r="214">
          <cell r="C214">
            <v>4101</v>
          </cell>
          <cell r="D214" t="str">
            <v>盈余公积</v>
          </cell>
        </row>
        <row r="215">
          <cell r="C215">
            <v>410101</v>
          </cell>
          <cell r="D215" t="str">
            <v>法定盈余公积</v>
          </cell>
        </row>
        <row r="216">
          <cell r="C216">
            <v>4103</v>
          </cell>
          <cell r="D216" t="str">
            <v>本年利润</v>
          </cell>
        </row>
        <row r="217">
          <cell r="C217">
            <v>4104</v>
          </cell>
          <cell r="D217" t="str">
            <v>利润分配</v>
          </cell>
        </row>
        <row r="218">
          <cell r="C218">
            <v>410401</v>
          </cell>
          <cell r="D218" t="str">
            <v>未分配利润</v>
          </cell>
        </row>
        <row r="219">
          <cell r="C219">
            <v>410403</v>
          </cell>
          <cell r="D219" t="str">
            <v>提取法定盈余公积</v>
          </cell>
        </row>
        <row r="220">
          <cell r="C220" t="str">
            <v>权益小计</v>
          </cell>
        </row>
        <row r="221">
          <cell r="C221">
            <v>6001</v>
          </cell>
          <cell r="D221" t="str">
            <v>主营业务收入</v>
          </cell>
        </row>
        <row r="222">
          <cell r="C222">
            <v>600199</v>
          </cell>
          <cell r="D222" t="str">
            <v>其他行业收入</v>
          </cell>
        </row>
        <row r="223">
          <cell r="C223">
            <v>6113</v>
          </cell>
          <cell r="D223" t="str">
            <v>其他收益</v>
          </cell>
        </row>
        <row r="224">
          <cell r="C224">
            <v>611399</v>
          </cell>
          <cell r="D224" t="str">
            <v>其他</v>
          </cell>
        </row>
        <row r="225">
          <cell r="C225">
            <v>6301</v>
          </cell>
          <cell r="D225" t="str">
            <v>营业外收入</v>
          </cell>
        </row>
        <row r="226">
          <cell r="C226">
            <v>630199</v>
          </cell>
          <cell r="D226" t="str">
            <v>其他</v>
          </cell>
        </row>
        <row r="227">
          <cell r="C227">
            <v>6401</v>
          </cell>
          <cell r="D227" t="str">
            <v>主营业务成本</v>
          </cell>
        </row>
        <row r="228">
          <cell r="C228">
            <v>640101</v>
          </cell>
          <cell r="D228" t="str">
            <v>费用性成本</v>
          </cell>
        </row>
        <row r="229">
          <cell r="C229">
            <v>64010133</v>
          </cell>
          <cell r="D229" t="str">
            <v>物料消耗</v>
          </cell>
        </row>
        <row r="230">
          <cell r="C230">
            <v>6401013399</v>
          </cell>
          <cell r="D230" t="str">
            <v>其他</v>
          </cell>
        </row>
        <row r="231">
          <cell r="C231">
            <v>6402</v>
          </cell>
          <cell r="D231" t="str">
            <v>其他业务成本</v>
          </cell>
        </row>
        <row r="232">
          <cell r="C232">
            <v>640299</v>
          </cell>
          <cell r="D232" t="str">
            <v>其他</v>
          </cell>
        </row>
        <row r="233">
          <cell r="C233">
            <v>6403</v>
          </cell>
          <cell r="D233" t="str">
            <v>税金及附加</v>
          </cell>
        </row>
        <row r="234">
          <cell r="C234">
            <v>640301</v>
          </cell>
          <cell r="D234" t="str">
            <v>主营业务</v>
          </cell>
        </row>
        <row r="235">
          <cell r="C235">
            <v>6602</v>
          </cell>
          <cell r="D235" t="str">
            <v>管理费用</v>
          </cell>
        </row>
        <row r="236">
          <cell r="C236">
            <v>660201</v>
          </cell>
          <cell r="D236" t="str">
            <v>折旧费</v>
          </cell>
        </row>
        <row r="237">
          <cell r="C237">
            <v>660205</v>
          </cell>
          <cell r="D237" t="str">
            <v>工资</v>
          </cell>
        </row>
        <row r="238">
          <cell r="C238">
            <v>660206</v>
          </cell>
          <cell r="D238" t="str">
            <v>福利费</v>
          </cell>
        </row>
        <row r="239">
          <cell r="C239">
            <v>660207</v>
          </cell>
          <cell r="D239" t="str">
            <v>工会经费</v>
          </cell>
        </row>
        <row r="240">
          <cell r="C240">
            <v>660208</v>
          </cell>
          <cell r="D240" t="str">
            <v>职工教育经费</v>
          </cell>
        </row>
        <row r="241">
          <cell r="C241">
            <v>660209</v>
          </cell>
          <cell r="D241" t="str">
            <v>住房公积金</v>
          </cell>
        </row>
        <row r="242">
          <cell r="C242">
            <v>660210</v>
          </cell>
          <cell r="D242" t="str">
            <v>社会保险费</v>
          </cell>
        </row>
        <row r="243">
          <cell r="C243">
            <v>660212</v>
          </cell>
          <cell r="D243" t="str">
            <v>差旅费</v>
          </cell>
        </row>
        <row r="244">
          <cell r="C244">
            <v>660213</v>
          </cell>
          <cell r="D244" t="str">
            <v>业务招待费</v>
          </cell>
        </row>
        <row r="245">
          <cell r="C245">
            <v>660219</v>
          </cell>
          <cell r="D245" t="str">
            <v>聘请中介机构费用</v>
          </cell>
        </row>
        <row r="246">
          <cell r="C246">
            <v>660221</v>
          </cell>
          <cell r="D246" t="str">
            <v>办公费</v>
          </cell>
        </row>
        <row r="247">
          <cell r="C247">
            <v>660229</v>
          </cell>
          <cell r="D247" t="str">
            <v>水电费</v>
          </cell>
        </row>
        <row r="248">
          <cell r="C248">
            <v>660231</v>
          </cell>
          <cell r="D248" t="str">
            <v>书刊费</v>
          </cell>
        </row>
        <row r="249">
          <cell r="C249">
            <v>660299</v>
          </cell>
          <cell r="D249" t="str">
            <v>其他</v>
          </cell>
        </row>
        <row r="250">
          <cell r="C250">
            <v>6603</v>
          </cell>
          <cell r="D250" t="str">
            <v>财务费用</v>
          </cell>
        </row>
        <row r="251">
          <cell r="C251">
            <v>660301</v>
          </cell>
          <cell r="D251" t="str">
            <v>利息</v>
          </cell>
        </row>
        <row r="252">
          <cell r="C252">
            <v>66030101</v>
          </cell>
          <cell r="D252" t="str">
            <v>利息收入</v>
          </cell>
        </row>
        <row r="253">
          <cell r="C253">
            <v>660304</v>
          </cell>
          <cell r="D253" t="str">
            <v>工本手续费</v>
          </cell>
        </row>
        <row r="254">
          <cell r="C254">
            <v>6801</v>
          </cell>
          <cell r="D254" t="str">
            <v>所得税费用</v>
          </cell>
        </row>
        <row r="255">
          <cell r="C255">
            <v>680101</v>
          </cell>
          <cell r="D255" t="str">
            <v>当期所得税</v>
          </cell>
        </row>
        <row r="256">
          <cell r="C256">
            <v>1001</v>
          </cell>
          <cell r="D256" t="str">
            <v>库存现金</v>
          </cell>
        </row>
        <row r="257">
          <cell r="C257">
            <v>1002</v>
          </cell>
          <cell r="D257" t="str">
            <v>银行存款</v>
          </cell>
        </row>
        <row r="258">
          <cell r="C258">
            <v>100203</v>
          </cell>
          <cell r="D258" t="str">
            <v>建设银行</v>
          </cell>
        </row>
        <row r="259">
          <cell r="C259">
            <v>100217</v>
          </cell>
          <cell r="D259" t="str">
            <v>农业发展银行</v>
          </cell>
        </row>
        <row r="260">
          <cell r="C260">
            <v>1122</v>
          </cell>
          <cell r="D260" t="str">
            <v>应收账款</v>
          </cell>
        </row>
        <row r="261">
          <cell r="C261">
            <v>1181</v>
          </cell>
          <cell r="D261" t="str">
            <v>公司往来</v>
          </cell>
        </row>
        <row r="262">
          <cell r="C262">
            <v>118102</v>
          </cell>
          <cell r="D262" t="str">
            <v>母子公司往来</v>
          </cell>
        </row>
        <row r="263">
          <cell r="C263">
            <v>1221</v>
          </cell>
          <cell r="D263" t="str">
            <v>其他应收款</v>
          </cell>
        </row>
        <row r="264">
          <cell r="C264">
            <v>122105</v>
          </cell>
          <cell r="D264" t="str">
            <v>应收补贴款</v>
          </cell>
        </row>
        <row r="265">
          <cell r="C265">
            <v>12210501</v>
          </cell>
          <cell r="D265" t="str">
            <v>军供差价补贴</v>
          </cell>
        </row>
        <row r="266">
          <cell r="C266">
            <v>12210502</v>
          </cell>
          <cell r="D266" t="str">
            <v>财政扶持性补贴</v>
          </cell>
        </row>
        <row r="267">
          <cell r="C267">
            <v>122199</v>
          </cell>
          <cell r="D267" t="str">
            <v>其他</v>
          </cell>
        </row>
        <row r="268">
          <cell r="C268">
            <v>1231</v>
          </cell>
          <cell r="D268" t="str">
            <v>坏账准备</v>
          </cell>
        </row>
        <row r="269">
          <cell r="C269">
            <v>123101</v>
          </cell>
          <cell r="D269" t="str">
            <v>应收帐款计提</v>
          </cell>
        </row>
        <row r="270">
          <cell r="C270">
            <v>123102</v>
          </cell>
          <cell r="D270" t="str">
            <v>其他应收款计提</v>
          </cell>
        </row>
        <row r="271">
          <cell r="C271">
            <v>1405</v>
          </cell>
          <cell r="D271" t="str">
            <v>库存商品</v>
          </cell>
        </row>
        <row r="272">
          <cell r="C272">
            <v>140502</v>
          </cell>
          <cell r="D272" t="str">
            <v>粮油库存</v>
          </cell>
        </row>
        <row r="273">
          <cell r="C273">
            <v>14050202</v>
          </cell>
          <cell r="D273" t="str">
            <v>商品粮油</v>
          </cell>
        </row>
        <row r="274">
          <cell r="C274">
            <v>1405020201</v>
          </cell>
          <cell r="D274" t="str">
            <v>特一粉</v>
          </cell>
        </row>
        <row r="275">
          <cell r="C275">
            <v>1405020202</v>
          </cell>
          <cell r="D275" t="str">
            <v>粳米</v>
          </cell>
        </row>
        <row r="276">
          <cell r="C276">
            <v>1405020204</v>
          </cell>
          <cell r="D276" t="str">
            <v>大豆</v>
          </cell>
        </row>
        <row r="277">
          <cell r="C277">
            <v>1405020205</v>
          </cell>
          <cell r="D277" t="str">
            <v>橄榄油</v>
          </cell>
        </row>
        <row r="278">
          <cell r="C278">
            <v>1405020206</v>
          </cell>
          <cell r="D278" t="str">
            <v>花生油</v>
          </cell>
        </row>
        <row r="279">
          <cell r="C279">
            <v>1405020207</v>
          </cell>
          <cell r="D279" t="str">
            <v>大豆油</v>
          </cell>
        </row>
        <row r="280">
          <cell r="C280">
            <v>1521</v>
          </cell>
          <cell r="D280" t="str">
            <v>投资性房地产</v>
          </cell>
        </row>
        <row r="281">
          <cell r="C281">
            <v>152101</v>
          </cell>
          <cell r="D281" t="str">
            <v>房屋及建筑物购置成本</v>
          </cell>
        </row>
        <row r="282">
          <cell r="C282">
            <v>152102</v>
          </cell>
          <cell r="D282" t="str">
            <v>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其它</v>
          </cell>
        </row>
        <row r="292">
          <cell r="C292">
            <v>2211</v>
          </cell>
          <cell r="D292" t="str">
            <v>应付职工薪酬</v>
          </cell>
        </row>
        <row r="293">
          <cell r="C293">
            <v>221101</v>
          </cell>
          <cell r="D293" t="str">
            <v>应付工资</v>
          </cell>
        </row>
        <row r="294">
          <cell r="C294">
            <v>22110101</v>
          </cell>
          <cell r="D294" t="str">
            <v>员工工资</v>
          </cell>
        </row>
        <row r="295">
          <cell r="C295">
            <v>2211010101</v>
          </cell>
          <cell r="D295" t="str">
            <v>基本工资</v>
          </cell>
        </row>
        <row r="296">
          <cell r="C296">
            <v>2211010105</v>
          </cell>
          <cell r="D296" t="str">
            <v>效益工资</v>
          </cell>
        </row>
        <row r="297">
          <cell r="C297">
            <v>221102</v>
          </cell>
          <cell r="D297" t="str">
            <v>职工福利</v>
          </cell>
        </row>
        <row r="298">
          <cell r="C298">
            <v>221103</v>
          </cell>
          <cell r="D298" t="str">
            <v>社会保险费</v>
          </cell>
        </row>
        <row r="299">
          <cell r="C299">
            <v>22110301</v>
          </cell>
          <cell r="D299" t="str">
            <v>养老保险</v>
          </cell>
        </row>
        <row r="300">
          <cell r="C300">
            <v>22110302</v>
          </cell>
          <cell r="D300" t="str">
            <v>失业保险</v>
          </cell>
        </row>
        <row r="301">
          <cell r="C301">
            <v>22110305</v>
          </cell>
          <cell r="D301" t="str">
            <v>医疗保险</v>
          </cell>
        </row>
        <row r="302">
          <cell r="C302">
            <v>22110306</v>
          </cell>
          <cell r="D302" t="str">
            <v>企业年金</v>
          </cell>
        </row>
        <row r="303">
          <cell r="C303">
            <v>221104</v>
          </cell>
          <cell r="D303" t="str">
            <v>住房公积金</v>
          </cell>
        </row>
        <row r="304">
          <cell r="C304">
            <v>221106</v>
          </cell>
          <cell r="D304" t="str">
            <v>工会经费</v>
          </cell>
        </row>
        <row r="305">
          <cell r="C305">
            <v>221107</v>
          </cell>
          <cell r="D305" t="str">
            <v>教育经费</v>
          </cell>
        </row>
        <row r="306">
          <cell r="C306">
            <v>2221</v>
          </cell>
          <cell r="D306" t="str">
            <v>应交税费</v>
          </cell>
        </row>
        <row r="307">
          <cell r="C307">
            <v>222103</v>
          </cell>
          <cell r="D307" t="str">
            <v>应交城市维护建设税</v>
          </cell>
        </row>
        <row r="308">
          <cell r="C308">
            <v>222106</v>
          </cell>
          <cell r="D308" t="str">
            <v>应交个人所得税</v>
          </cell>
        </row>
        <row r="309">
          <cell r="C309">
            <v>222107</v>
          </cell>
          <cell r="D309" t="str">
            <v>房产税</v>
          </cell>
        </row>
        <row r="310">
          <cell r="C310">
            <v>222108</v>
          </cell>
          <cell r="D310" t="str">
            <v>印花税</v>
          </cell>
        </row>
        <row r="311">
          <cell r="C311">
            <v>222114</v>
          </cell>
          <cell r="D311" t="str">
            <v>应交教育费附加</v>
          </cell>
        </row>
        <row r="312">
          <cell r="C312">
            <v>222115</v>
          </cell>
          <cell r="D312" t="str">
            <v>应交地方教育附加</v>
          </cell>
        </row>
        <row r="313">
          <cell r="C313">
            <v>222125</v>
          </cell>
          <cell r="D313" t="str">
            <v>简易计税</v>
          </cell>
        </row>
        <row r="314">
          <cell r="C314">
            <v>2241</v>
          </cell>
          <cell r="D314" t="str">
            <v>其他应付款</v>
          </cell>
        </row>
        <row r="315">
          <cell r="C315">
            <v>224101</v>
          </cell>
          <cell r="D315" t="str">
            <v>单位往来</v>
          </cell>
        </row>
        <row r="316">
          <cell r="C316" t="str">
            <v>负债小计</v>
          </cell>
        </row>
        <row r="317">
          <cell r="C317">
            <v>4001</v>
          </cell>
          <cell r="D317" t="str">
            <v>实收资本（或股本）</v>
          </cell>
        </row>
        <row r="318">
          <cell r="C318">
            <v>400101</v>
          </cell>
          <cell r="D318" t="str">
            <v>国家资本</v>
          </cell>
        </row>
        <row r="319">
          <cell r="C319">
            <v>4002</v>
          </cell>
          <cell r="D319" t="str">
            <v>资本公积</v>
          </cell>
        </row>
        <row r="320">
          <cell r="C320">
            <v>400299</v>
          </cell>
          <cell r="D320" t="str">
            <v>其他资本公积</v>
          </cell>
        </row>
        <row r="321">
          <cell r="C321">
            <v>4101</v>
          </cell>
          <cell r="D321" t="str">
            <v>盈余公积</v>
          </cell>
        </row>
        <row r="322">
          <cell r="C322">
            <v>410101</v>
          </cell>
          <cell r="D322" t="str">
            <v>法定盈余公积</v>
          </cell>
        </row>
        <row r="323">
          <cell r="C323">
            <v>4103</v>
          </cell>
          <cell r="D323" t="str">
            <v>本年利润</v>
          </cell>
        </row>
        <row r="324">
          <cell r="C324">
            <v>4104</v>
          </cell>
          <cell r="D324" t="str">
            <v>利润分配</v>
          </cell>
        </row>
        <row r="325">
          <cell r="C325">
            <v>410401</v>
          </cell>
          <cell r="D325" t="str">
            <v>未分配利润</v>
          </cell>
        </row>
        <row r="326">
          <cell r="C326" t="str">
            <v>权益小计</v>
          </cell>
        </row>
        <row r="327">
          <cell r="C327">
            <v>6001</v>
          </cell>
          <cell r="D327" t="str">
            <v>主营业务收入</v>
          </cell>
        </row>
        <row r="328">
          <cell r="C328">
            <v>600102</v>
          </cell>
          <cell r="D328" t="str">
            <v>粮食收入</v>
          </cell>
        </row>
        <row r="329">
          <cell r="C329">
            <v>60010201</v>
          </cell>
          <cell r="D329" t="str">
            <v>特一粉</v>
          </cell>
        </row>
        <row r="330">
          <cell r="C330">
            <v>60010202</v>
          </cell>
          <cell r="D330" t="str">
            <v>粳米</v>
          </cell>
        </row>
        <row r="331">
          <cell r="C331">
            <v>60010204</v>
          </cell>
          <cell r="D331" t="str">
            <v>大豆</v>
          </cell>
        </row>
        <row r="332">
          <cell r="C332">
            <v>60010205</v>
          </cell>
          <cell r="D332" t="str">
            <v>橄榄油</v>
          </cell>
        </row>
        <row r="333">
          <cell r="C333">
            <v>60010206</v>
          </cell>
          <cell r="D333" t="str">
            <v>花生油</v>
          </cell>
        </row>
        <row r="334">
          <cell r="C334">
            <v>60010207</v>
          </cell>
          <cell r="D334" t="str">
            <v>大豆油</v>
          </cell>
        </row>
        <row r="335">
          <cell r="C335">
            <v>6051</v>
          </cell>
          <cell r="D335" t="str">
            <v>其他业务收入</v>
          </cell>
        </row>
        <row r="336">
          <cell r="C336">
            <v>605112</v>
          </cell>
          <cell r="D336" t="str">
            <v>房租收入</v>
          </cell>
        </row>
        <row r="337">
          <cell r="C337">
            <v>6301</v>
          </cell>
          <cell r="D337" t="str">
            <v>营业外收入</v>
          </cell>
        </row>
        <row r="338">
          <cell r="C338">
            <v>630102</v>
          </cell>
          <cell r="D338" t="str">
            <v>政府补贴</v>
          </cell>
        </row>
        <row r="339">
          <cell r="C339">
            <v>63010201</v>
          </cell>
          <cell r="D339" t="str">
            <v>军供差价补贴</v>
          </cell>
        </row>
        <row r="340">
          <cell r="C340">
            <v>63010202</v>
          </cell>
          <cell r="D340" t="str">
            <v>财政扶持性补贴</v>
          </cell>
        </row>
        <row r="341">
          <cell r="C341">
            <v>630199</v>
          </cell>
          <cell r="D341" t="str">
            <v>其他</v>
          </cell>
        </row>
        <row r="342">
          <cell r="C342">
            <v>6401</v>
          </cell>
          <cell r="D342" t="str">
            <v>主营业务成本</v>
          </cell>
        </row>
        <row r="343">
          <cell r="C343">
            <v>640102</v>
          </cell>
          <cell r="D343" t="str">
            <v>粮食类成本</v>
          </cell>
        </row>
        <row r="344">
          <cell r="C344">
            <v>64010201</v>
          </cell>
          <cell r="D344" t="str">
            <v>特一粉</v>
          </cell>
        </row>
        <row r="345">
          <cell r="C345">
            <v>64010202</v>
          </cell>
          <cell r="D345" t="str">
            <v>粳米</v>
          </cell>
        </row>
        <row r="346">
          <cell r="C346">
            <v>64010204</v>
          </cell>
          <cell r="D346" t="str">
            <v>大豆</v>
          </cell>
        </row>
        <row r="347">
          <cell r="C347">
            <v>64010205</v>
          </cell>
          <cell r="D347" t="str">
            <v>橄榄油</v>
          </cell>
        </row>
        <row r="348">
          <cell r="C348">
            <v>64010206</v>
          </cell>
          <cell r="D348" t="str">
            <v>花生油</v>
          </cell>
        </row>
        <row r="349">
          <cell r="C349">
            <v>64010207</v>
          </cell>
          <cell r="D349" t="str">
            <v>大豆油</v>
          </cell>
        </row>
        <row r="350">
          <cell r="C350">
            <v>6402</v>
          </cell>
          <cell r="D350" t="str">
            <v>其他业务成本</v>
          </cell>
        </row>
        <row r="351">
          <cell r="C351">
            <v>640299</v>
          </cell>
          <cell r="D351" t="str">
            <v>其他</v>
          </cell>
        </row>
        <row r="352">
          <cell r="C352">
            <v>6403</v>
          </cell>
          <cell r="D352" t="str">
            <v>税金及附加</v>
          </cell>
        </row>
        <row r="353">
          <cell r="C353">
            <v>6602</v>
          </cell>
          <cell r="D353" t="str">
            <v>管理费用</v>
          </cell>
        </row>
        <row r="354">
          <cell r="C354">
            <v>660201</v>
          </cell>
          <cell r="D354" t="str">
            <v>折旧费</v>
          </cell>
        </row>
        <row r="355">
          <cell r="C355">
            <v>660202</v>
          </cell>
          <cell r="D355" t="str">
            <v>低值易耗品摊销</v>
          </cell>
        </row>
        <row r="356">
          <cell r="C356">
            <v>660203</v>
          </cell>
          <cell r="D356" t="str">
            <v>无形及递延资产摊销</v>
          </cell>
        </row>
        <row r="357">
          <cell r="C357">
            <v>660205</v>
          </cell>
          <cell r="D357" t="str">
            <v>工资</v>
          </cell>
        </row>
        <row r="358">
          <cell r="C358">
            <v>660206</v>
          </cell>
          <cell r="D358" t="str">
            <v>福利费</v>
          </cell>
        </row>
        <row r="359">
          <cell r="C359">
            <v>660207</v>
          </cell>
          <cell r="D359" t="str">
            <v>工会经费</v>
          </cell>
        </row>
        <row r="360">
          <cell r="C360">
            <v>660209</v>
          </cell>
          <cell r="D360" t="str">
            <v>住房公积金</v>
          </cell>
        </row>
        <row r="361">
          <cell r="C361">
            <v>660210</v>
          </cell>
          <cell r="D361" t="str">
            <v>社会保险费</v>
          </cell>
        </row>
        <row r="362">
          <cell r="C362">
            <v>660212</v>
          </cell>
          <cell r="D362" t="str">
            <v>差旅费</v>
          </cell>
        </row>
        <row r="363">
          <cell r="C363">
            <v>660213</v>
          </cell>
          <cell r="D363" t="str">
            <v>业务招待费</v>
          </cell>
        </row>
        <row r="364">
          <cell r="C364">
            <v>660215</v>
          </cell>
          <cell r="D364" t="str">
            <v>邮电费</v>
          </cell>
        </row>
        <row r="365">
          <cell r="C365">
            <v>660219</v>
          </cell>
          <cell r="D365" t="str">
            <v>聘请中介机构费用</v>
          </cell>
        </row>
        <row r="366">
          <cell r="C366">
            <v>660221</v>
          </cell>
          <cell r="D366" t="str">
            <v>办公费</v>
          </cell>
        </row>
        <row r="367">
          <cell r="C367">
            <v>660225</v>
          </cell>
          <cell r="D367" t="str">
            <v>创建费用</v>
          </cell>
        </row>
        <row r="368">
          <cell r="C368">
            <v>660229</v>
          </cell>
          <cell r="D368" t="str">
            <v>水电费</v>
          </cell>
        </row>
        <row r="369">
          <cell r="C369">
            <v>660231</v>
          </cell>
          <cell r="D369" t="str">
            <v>书刊费</v>
          </cell>
        </row>
        <row r="370">
          <cell r="C370">
            <v>660238</v>
          </cell>
          <cell r="D370" t="str">
            <v>拥军支出</v>
          </cell>
        </row>
        <row r="371">
          <cell r="C371">
            <v>660299</v>
          </cell>
          <cell r="D371" t="str">
            <v>其他</v>
          </cell>
        </row>
        <row r="372">
          <cell r="C372">
            <v>6603</v>
          </cell>
          <cell r="D372" t="str">
            <v>财务费用</v>
          </cell>
        </row>
        <row r="373">
          <cell r="C373">
            <v>660301</v>
          </cell>
          <cell r="D373" t="str">
            <v>利息</v>
          </cell>
        </row>
        <row r="374">
          <cell r="C374">
            <v>66030101</v>
          </cell>
          <cell r="D374" t="str">
            <v>利息收入</v>
          </cell>
        </row>
        <row r="375">
          <cell r="C375">
            <v>660304</v>
          </cell>
          <cell r="D375" t="str">
            <v>工本手续费</v>
          </cell>
        </row>
        <row r="376">
          <cell r="C376">
            <v>1002</v>
          </cell>
          <cell r="D376" t="str">
            <v>银行存款</v>
          </cell>
        </row>
        <row r="377">
          <cell r="C377">
            <v>100204</v>
          </cell>
          <cell r="D377" t="str">
            <v>农业银行</v>
          </cell>
        </row>
        <row r="378">
          <cell r="C378">
            <v>1601</v>
          </cell>
          <cell r="D378" t="str">
            <v>固定资产</v>
          </cell>
        </row>
        <row r="379">
          <cell r="C379" t="str">
            <v>资产小计</v>
          </cell>
        </row>
        <row r="380">
          <cell r="C380">
            <v>4001</v>
          </cell>
          <cell r="D380" t="str">
            <v>实收资本（或股本）</v>
          </cell>
        </row>
        <row r="381">
          <cell r="C381">
            <v>400101</v>
          </cell>
          <cell r="D381" t="str">
            <v>国家资本</v>
          </cell>
        </row>
        <row r="382">
          <cell r="C382">
            <v>4103</v>
          </cell>
          <cell r="D382" t="str">
            <v>本年利润</v>
          </cell>
        </row>
        <row r="383">
          <cell r="C383">
            <v>4104</v>
          </cell>
          <cell r="D383" t="str">
            <v>利润分配</v>
          </cell>
        </row>
        <row r="384">
          <cell r="C384">
            <v>410401</v>
          </cell>
          <cell r="D384" t="str">
            <v>未分配利润</v>
          </cell>
        </row>
        <row r="385">
          <cell r="C385" t="str">
            <v>权益小计</v>
          </cell>
        </row>
        <row r="386">
          <cell r="C386">
            <v>6602</v>
          </cell>
          <cell r="D386" t="str">
            <v>管理费用</v>
          </cell>
        </row>
        <row r="387">
          <cell r="C387">
            <v>660202</v>
          </cell>
          <cell r="D387" t="str">
            <v>低值易耗品摊销</v>
          </cell>
        </row>
        <row r="388">
          <cell r="C388">
            <v>660213</v>
          </cell>
          <cell r="D388" t="str">
            <v>业务招待费</v>
          </cell>
        </row>
        <row r="389">
          <cell r="C389">
            <v>660215</v>
          </cell>
          <cell r="D389" t="str">
            <v>邮电费</v>
          </cell>
        </row>
        <row r="390">
          <cell r="C390">
            <v>660221</v>
          </cell>
          <cell r="D390" t="str">
            <v>办公费</v>
          </cell>
        </row>
        <row r="391">
          <cell r="C391">
            <v>660299</v>
          </cell>
          <cell r="D391" t="str">
            <v>其他</v>
          </cell>
        </row>
        <row r="392">
          <cell r="C392">
            <v>6603</v>
          </cell>
          <cell r="D392" t="str">
            <v>财务费用</v>
          </cell>
        </row>
        <row r="393">
          <cell r="C393">
            <v>660301</v>
          </cell>
          <cell r="D393" t="str">
            <v>利息</v>
          </cell>
        </row>
        <row r="394">
          <cell r="C394">
            <v>66030101</v>
          </cell>
          <cell r="D394" t="str">
            <v>利息收入</v>
          </cell>
        </row>
        <row r="395">
          <cell r="C395">
            <v>660304</v>
          </cell>
          <cell r="D395" t="str">
            <v>工本手续费</v>
          </cell>
        </row>
        <row r="396">
          <cell r="C396">
            <v>1002</v>
          </cell>
          <cell r="D396" t="str">
            <v>银行存款</v>
          </cell>
        </row>
        <row r="397">
          <cell r="C397">
            <v>100204</v>
          </cell>
          <cell r="D397" t="str">
            <v>农业银行</v>
          </cell>
        </row>
        <row r="398">
          <cell r="C398">
            <v>1181</v>
          </cell>
          <cell r="D398" t="str">
            <v>公司往来</v>
          </cell>
        </row>
        <row r="399">
          <cell r="C399">
            <v>118103</v>
          </cell>
          <cell r="D399" t="str">
            <v>分子公司往来</v>
          </cell>
        </row>
        <row r="400">
          <cell r="C400">
            <v>1221</v>
          </cell>
          <cell r="D400" t="str">
            <v>其他应收款</v>
          </cell>
        </row>
        <row r="401">
          <cell r="C401">
            <v>122102</v>
          </cell>
          <cell r="D401" t="str">
            <v>备用金</v>
          </cell>
        </row>
        <row r="402">
          <cell r="C402">
            <v>122104</v>
          </cell>
          <cell r="D402" t="str">
            <v>单位往来</v>
          </cell>
        </row>
        <row r="403">
          <cell r="C403">
            <v>1402</v>
          </cell>
          <cell r="D403" t="str">
            <v>物料用品</v>
          </cell>
        </row>
        <row r="404">
          <cell r="C404">
            <v>140202</v>
          </cell>
          <cell r="D404" t="str">
            <v>低值易耗品</v>
          </cell>
        </row>
        <row r="405">
          <cell r="C405">
            <v>1405</v>
          </cell>
          <cell r="D405" t="str">
            <v>库存商品</v>
          </cell>
        </row>
        <row r="406">
          <cell r="C406">
            <v>140509</v>
          </cell>
          <cell r="D406" t="str">
            <v>农产品</v>
          </cell>
        </row>
        <row r="407">
          <cell r="C407">
            <v>1511</v>
          </cell>
          <cell r="D407" t="str">
            <v>长期股权投资</v>
          </cell>
        </row>
        <row r="408">
          <cell r="C408">
            <v>151102</v>
          </cell>
          <cell r="D408" t="str">
            <v>权益法</v>
          </cell>
        </row>
        <row r="409">
          <cell r="C409">
            <v>15110299</v>
          </cell>
          <cell r="D409" t="str">
            <v>其他</v>
          </cell>
        </row>
        <row r="410">
          <cell r="C410">
            <v>1601</v>
          </cell>
          <cell r="D410" t="str">
            <v>固定资产</v>
          </cell>
        </row>
        <row r="411">
          <cell r="C411">
            <v>160102</v>
          </cell>
          <cell r="D411" t="str">
            <v>通用设备</v>
          </cell>
        </row>
        <row r="412">
          <cell r="C412">
            <v>1602</v>
          </cell>
          <cell r="D412" t="str">
            <v>累计折旧</v>
          </cell>
        </row>
        <row r="413">
          <cell r="C413">
            <v>160202</v>
          </cell>
          <cell r="D413" t="str">
            <v>通用设备</v>
          </cell>
        </row>
        <row r="414">
          <cell r="C414">
            <v>1604</v>
          </cell>
          <cell r="D414" t="str">
            <v>在建工程</v>
          </cell>
        </row>
        <row r="415">
          <cell r="C415">
            <v>160402</v>
          </cell>
          <cell r="D415" t="str">
            <v>前期工程费</v>
          </cell>
        </row>
        <row r="416">
          <cell r="C416">
            <v>16040201</v>
          </cell>
          <cell r="D416" t="str">
            <v>设计费</v>
          </cell>
        </row>
        <row r="417">
          <cell r="C417">
            <v>160403</v>
          </cell>
          <cell r="D417" t="str">
            <v>建筑安装工程费</v>
          </cell>
        </row>
        <row r="418">
          <cell r="C418">
            <v>16040304</v>
          </cell>
          <cell r="D418" t="str">
            <v>安装工程</v>
          </cell>
        </row>
        <row r="419">
          <cell r="C419">
            <v>16040305</v>
          </cell>
          <cell r="D419" t="str">
            <v>装饰工程</v>
          </cell>
        </row>
        <row r="420">
          <cell r="C420">
            <v>16040306</v>
          </cell>
          <cell r="D420" t="str">
            <v>自供材料及设备</v>
          </cell>
        </row>
        <row r="421">
          <cell r="C421">
            <v>160499</v>
          </cell>
          <cell r="D421" t="str">
            <v>其他</v>
          </cell>
        </row>
        <row r="422">
          <cell r="C422">
            <v>2211</v>
          </cell>
          <cell r="D422" t="str">
            <v>应付职工薪酬</v>
          </cell>
        </row>
        <row r="423">
          <cell r="C423">
            <v>221101</v>
          </cell>
          <cell r="D423" t="str">
            <v>应付工资</v>
          </cell>
        </row>
        <row r="424">
          <cell r="C424">
            <v>22110101</v>
          </cell>
          <cell r="D424" t="str">
            <v>员工工资</v>
          </cell>
        </row>
        <row r="425">
          <cell r="C425">
            <v>2211010101</v>
          </cell>
          <cell r="D425" t="str">
            <v>基本工资</v>
          </cell>
        </row>
        <row r="426">
          <cell r="C426">
            <v>2211010102</v>
          </cell>
          <cell r="D426" t="str">
            <v>考核工资</v>
          </cell>
        </row>
        <row r="427">
          <cell r="C427">
            <v>2211010103</v>
          </cell>
          <cell r="D427" t="str">
            <v>各项补贴</v>
          </cell>
        </row>
        <row r="428">
          <cell r="C428">
            <v>2211010104</v>
          </cell>
          <cell r="D428" t="str">
            <v>加班工资</v>
          </cell>
        </row>
        <row r="429">
          <cell r="C429">
            <v>22110103</v>
          </cell>
          <cell r="D429" t="str">
            <v>高管工资</v>
          </cell>
        </row>
        <row r="430">
          <cell r="C430">
            <v>2211010301</v>
          </cell>
          <cell r="D430" t="str">
            <v>基本年薪</v>
          </cell>
        </row>
        <row r="431">
          <cell r="C431">
            <v>2211010302</v>
          </cell>
          <cell r="D431" t="str">
            <v>效益年薪</v>
          </cell>
        </row>
        <row r="432">
          <cell r="C432">
            <v>2211010305</v>
          </cell>
          <cell r="D432" t="str">
            <v>任期绩效</v>
          </cell>
        </row>
        <row r="433">
          <cell r="C433">
            <v>221102</v>
          </cell>
          <cell r="D433" t="str">
            <v>职工福利</v>
          </cell>
        </row>
        <row r="434">
          <cell r="C434">
            <v>221103</v>
          </cell>
          <cell r="D434" t="str">
            <v>社会保险费</v>
          </cell>
        </row>
        <row r="435">
          <cell r="C435">
            <v>22110305</v>
          </cell>
          <cell r="D435" t="str">
            <v>医疗保险</v>
          </cell>
        </row>
        <row r="436">
          <cell r="C436">
            <v>221104</v>
          </cell>
          <cell r="D436" t="str">
            <v>住房公积金</v>
          </cell>
        </row>
        <row r="437">
          <cell r="C437">
            <v>221106</v>
          </cell>
          <cell r="D437" t="str">
            <v>工会经费</v>
          </cell>
        </row>
        <row r="438">
          <cell r="C438">
            <v>221107</v>
          </cell>
          <cell r="D438" t="str">
            <v>教育经费</v>
          </cell>
        </row>
        <row r="439">
          <cell r="C439">
            <v>2221</v>
          </cell>
          <cell r="D439" t="str">
            <v>应交税费</v>
          </cell>
        </row>
        <row r="440">
          <cell r="C440">
            <v>222106</v>
          </cell>
          <cell r="D440" t="str">
            <v>应交个人所得税</v>
          </cell>
        </row>
        <row r="441">
          <cell r="C441">
            <v>222108</v>
          </cell>
          <cell r="D441" t="str">
            <v>印花税</v>
          </cell>
        </row>
        <row r="442">
          <cell r="C442">
            <v>2241</v>
          </cell>
          <cell r="D442" t="str">
            <v>其他应付款</v>
          </cell>
        </row>
        <row r="443">
          <cell r="C443">
            <v>224102</v>
          </cell>
          <cell r="D443" t="str">
            <v>代扣代缴款</v>
          </cell>
        </row>
        <row r="444">
          <cell r="C444">
            <v>22410201</v>
          </cell>
          <cell r="D444" t="str">
            <v>社会保险费</v>
          </cell>
        </row>
        <row r="445">
          <cell r="C445">
            <v>2241020101</v>
          </cell>
          <cell r="D445" t="str">
            <v>养老保险</v>
          </cell>
        </row>
        <row r="446">
          <cell r="C446">
            <v>2241020102</v>
          </cell>
          <cell r="D446" t="str">
            <v>失业保险</v>
          </cell>
        </row>
        <row r="447">
          <cell r="C447">
            <v>2241020103</v>
          </cell>
          <cell r="D447" t="str">
            <v>医疗保险</v>
          </cell>
        </row>
        <row r="448">
          <cell r="C448">
            <v>22410202</v>
          </cell>
          <cell r="D448" t="str">
            <v>住房公积金</v>
          </cell>
        </row>
        <row r="449">
          <cell r="C449">
            <v>224106</v>
          </cell>
          <cell r="D449" t="str">
            <v>保证金</v>
          </cell>
        </row>
        <row r="450">
          <cell r="C450">
            <v>22410604</v>
          </cell>
          <cell r="D450" t="str">
            <v>行业保证金</v>
          </cell>
        </row>
        <row r="451">
          <cell r="C451">
            <v>224137</v>
          </cell>
          <cell r="D451" t="str">
            <v>代收\暂扣款</v>
          </cell>
        </row>
        <row r="452">
          <cell r="C452">
            <v>4001</v>
          </cell>
          <cell r="D452" t="str">
            <v>实收资本（或股本）</v>
          </cell>
        </row>
        <row r="453">
          <cell r="C453">
            <v>400101</v>
          </cell>
          <cell r="D453" t="str">
            <v>国家资本</v>
          </cell>
        </row>
        <row r="454">
          <cell r="C454">
            <v>4103</v>
          </cell>
          <cell r="D454" t="str">
            <v>本年利润</v>
          </cell>
        </row>
        <row r="455">
          <cell r="C455">
            <v>4104</v>
          </cell>
          <cell r="D455" t="str">
            <v>利润分配</v>
          </cell>
        </row>
        <row r="456">
          <cell r="C456">
            <v>410401</v>
          </cell>
          <cell r="D456" t="str">
            <v>未分配利润</v>
          </cell>
        </row>
        <row r="457">
          <cell r="C457">
            <v>6301</v>
          </cell>
          <cell r="D457" t="str">
            <v>营业外收入</v>
          </cell>
        </row>
        <row r="458">
          <cell r="C458">
            <v>630102</v>
          </cell>
          <cell r="D458" t="str">
            <v>其他</v>
          </cell>
        </row>
        <row r="459">
          <cell r="C459">
            <v>630103</v>
          </cell>
          <cell r="D459" t="str">
            <v>违约金收入</v>
          </cell>
        </row>
        <row r="460">
          <cell r="C460">
            <v>6403</v>
          </cell>
          <cell r="D460" t="str">
            <v>税金及附加</v>
          </cell>
        </row>
        <row r="461">
          <cell r="C461">
            <v>640301</v>
          </cell>
          <cell r="D461" t="str">
            <v>主营业务</v>
          </cell>
        </row>
        <row r="462">
          <cell r="C462">
            <v>6601</v>
          </cell>
          <cell r="D462" t="str">
            <v>销售费用</v>
          </cell>
        </row>
        <row r="463">
          <cell r="C463">
            <v>660102</v>
          </cell>
          <cell r="D463" t="str">
            <v>低值易耗品摊销</v>
          </cell>
        </row>
        <row r="464">
          <cell r="C464">
            <v>660113</v>
          </cell>
          <cell r="D464" t="str">
            <v>广告费</v>
          </cell>
        </row>
        <row r="465">
          <cell r="C465">
            <v>660114</v>
          </cell>
          <cell r="D465" t="str">
            <v>业务宣传费</v>
          </cell>
        </row>
        <row r="466">
          <cell r="C466">
            <v>660137</v>
          </cell>
          <cell r="D466" t="str">
            <v>办公费</v>
          </cell>
        </row>
        <row r="467">
          <cell r="C467">
            <v>660199</v>
          </cell>
          <cell r="D467" t="str">
            <v>其他</v>
          </cell>
        </row>
        <row r="468">
          <cell r="C468">
            <v>6602</v>
          </cell>
          <cell r="D468" t="str">
            <v>管理费用</v>
          </cell>
        </row>
        <row r="469">
          <cell r="C469">
            <v>660201</v>
          </cell>
          <cell r="D469" t="str">
            <v>折旧费</v>
          </cell>
        </row>
        <row r="470">
          <cell r="C470">
            <v>660202</v>
          </cell>
          <cell r="D470" t="str">
            <v>低值易耗品摊销</v>
          </cell>
        </row>
        <row r="471">
          <cell r="C471">
            <v>660205</v>
          </cell>
          <cell r="D471" t="str">
            <v>工资</v>
          </cell>
        </row>
        <row r="472">
          <cell r="C472">
            <v>660206</v>
          </cell>
          <cell r="D472" t="str">
            <v>福利费</v>
          </cell>
        </row>
        <row r="473">
          <cell r="C473">
            <v>660207</v>
          </cell>
          <cell r="D473" t="str">
            <v>工会经费</v>
          </cell>
        </row>
        <row r="474">
          <cell r="C474">
            <v>660208</v>
          </cell>
          <cell r="D474" t="str">
            <v>职工教育经费</v>
          </cell>
        </row>
        <row r="475">
          <cell r="C475">
            <v>660209</v>
          </cell>
          <cell r="D475" t="str">
            <v>住房公积金</v>
          </cell>
        </row>
        <row r="476">
          <cell r="C476">
            <v>660210</v>
          </cell>
          <cell r="D476" t="str">
            <v>社会保险费</v>
          </cell>
        </row>
        <row r="477">
          <cell r="C477">
            <v>660212</v>
          </cell>
          <cell r="D477" t="str">
            <v>差旅费</v>
          </cell>
        </row>
        <row r="478">
          <cell r="C478">
            <v>660215</v>
          </cell>
          <cell r="D478" t="str">
            <v>邮电费</v>
          </cell>
        </row>
        <row r="479">
          <cell r="C479">
            <v>660221</v>
          </cell>
          <cell r="D479" t="str">
            <v>办公费</v>
          </cell>
        </row>
        <row r="480">
          <cell r="C480">
            <v>660243</v>
          </cell>
          <cell r="D480" t="str">
            <v>广告宣传费</v>
          </cell>
        </row>
        <row r="481">
          <cell r="C481">
            <v>660299</v>
          </cell>
          <cell r="D481" t="str">
            <v>其他</v>
          </cell>
        </row>
        <row r="482">
          <cell r="C482">
            <v>6603</v>
          </cell>
          <cell r="D482" t="str">
            <v>财务费用</v>
          </cell>
        </row>
        <row r="483">
          <cell r="C483">
            <v>660301</v>
          </cell>
          <cell r="D483" t="str">
            <v>利息</v>
          </cell>
        </row>
        <row r="484">
          <cell r="C484">
            <v>66030101</v>
          </cell>
          <cell r="D484" t="str">
            <v>利息收入</v>
          </cell>
        </row>
        <row r="485">
          <cell r="C485">
            <v>660304</v>
          </cell>
          <cell r="D485" t="str">
            <v>工本手续费</v>
          </cell>
        </row>
        <row r="486">
          <cell r="C486">
            <v>660399</v>
          </cell>
          <cell r="D486" t="str">
            <v>其他</v>
          </cell>
        </row>
      </sheetData>
      <sheetData sheetId="2" refreshError="1"/>
      <sheetData sheetId="3" refreshError="1"/>
      <sheetData sheetId="4" refreshError="1"/>
      <sheetData sheetId="5"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E301DE9-878A-4823-AE6D-E90FBB7B84AA}" autoFormatId="16" applyNumberFormats="0" applyBorderFormats="0" applyFontFormats="0" applyPatternFormats="0" applyAlignmentFormats="0" applyWidthHeightFormats="0">
  <queryTableRefresh nextId="165">
    <queryTableFields count="16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6D32873-8CE9-4EE9-A2A6-26643BD975A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AE5F74-7D5A-48A4-B747-51A94D7A3573}" name="Table_0__2" displayName="Table_0__2" ref="A1:FH109" tableType="queryTable" totalsRowShown="0">
  <autoFilter ref="A1:FH109" xr:uid="{7363A811-942B-478B-AE71-8051546AFCEE}"/>
  <tableColumns count="164">
    <tableColumn id="1" xr3:uid="{5F62F895-5E36-4A86-B635-4699D9786B87}" uniqueName="1" name="Column1" queryTableFieldId="1" dataDxfId="186"/>
    <tableColumn id="2" xr3:uid="{806E5141-44E7-4CA5-9605-D31878C7FCFD}" uniqueName="2" name="Column2" queryTableFieldId="2" dataDxfId="185"/>
    <tableColumn id="3" xr3:uid="{F31B49AA-1473-4ACC-95C5-95C87E993B16}" uniqueName="3" name="Column3" queryTableFieldId="3" dataDxfId="184"/>
    <tableColumn id="4" xr3:uid="{E665BE47-336D-4AA6-8FA9-F05FDC273465}" uniqueName="4" name="Column4" queryTableFieldId="4" dataDxfId="183"/>
    <tableColumn id="5" xr3:uid="{AB760AC6-6EBA-49CC-91D1-0154FAC98C4F}" uniqueName="5" name="Column5" queryTableFieldId="5" dataDxfId="182"/>
    <tableColumn id="6" xr3:uid="{C035DFE2-C560-495D-BA66-FF263FA7B31A}" uniqueName="6" name="Column6" queryTableFieldId="6" dataDxfId="181"/>
    <tableColumn id="7" xr3:uid="{8067E15A-02C6-4222-BF79-1659A8B265F3}" uniqueName="7" name="Column7" queryTableFieldId="7" dataDxfId="180"/>
    <tableColumn id="8" xr3:uid="{FC6A3ED4-EF4D-4323-8767-CBCDA5205711}" uniqueName="8" name="Column8" queryTableFieldId="8" dataDxfId="179"/>
    <tableColumn id="9" xr3:uid="{835F6D90-6F61-4A70-AEA4-04326D86E586}" uniqueName="9" name="Column9" queryTableFieldId="9" dataDxfId="178"/>
    <tableColumn id="10" xr3:uid="{BD684299-89BF-49E0-9A8D-6D197964BEF5}" uniqueName="10" name="Column10" queryTableFieldId="10" dataDxfId="177"/>
    <tableColumn id="11" xr3:uid="{E85379EC-466A-481E-A36C-6FAA646811E2}" uniqueName="11" name="Column11" queryTableFieldId="11" dataDxfId="176"/>
    <tableColumn id="12" xr3:uid="{40DEC19D-D066-4619-A7FE-F2280D571236}" uniqueName="12" name="Column12" queryTableFieldId="12" dataDxfId="175"/>
    <tableColumn id="13" xr3:uid="{A2D32378-B965-4D55-996E-51B6A61B4505}" uniqueName="13" name="Column13" queryTableFieldId="13" dataDxfId="174"/>
    <tableColumn id="14" xr3:uid="{90E76A97-2B1F-4020-A0AB-2BD095F60E3D}" uniqueName="14" name="Column14" queryTableFieldId="14" dataDxfId="173"/>
    <tableColumn id="15" xr3:uid="{B5936DA5-9100-429F-806A-AA7088AD877B}" uniqueName="15" name="Column15" queryTableFieldId="15" dataDxfId="172"/>
    <tableColumn id="16" xr3:uid="{2F59FB24-F001-4B3F-9412-0971D90458FC}" uniqueName="16" name="Column16" queryTableFieldId="16" dataDxfId="171"/>
    <tableColumn id="17" xr3:uid="{5B96F322-D81D-4CB0-9823-E92C0760FA3C}" uniqueName="17" name="Column17" queryTableFieldId="17" dataDxfId="170"/>
    <tableColumn id="18" xr3:uid="{93B2364B-4A19-499F-B713-24CA72888298}" uniqueName="18" name="Column18" queryTableFieldId="18" dataDxfId="169"/>
    <tableColumn id="19" xr3:uid="{3D474B0F-5AF0-4B93-9C67-F65B58E0BC55}" uniqueName="19" name="Column19" queryTableFieldId="19" dataDxfId="168"/>
    <tableColumn id="20" xr3:uid="{5F6FA1D3-EABF-4BA4-8C04-CD53182C2BB8}" uniqueName="20" name="Column20" queryTableFieldId="20" dataDxfId="167"/>
    <tableColumn id="21" xr3:uid="{25C2AE15-EDA1-4F3D-8A3A-8F2941CEC905}" uniqueName="21" name="Column21" queryTableFieldId="21" dataDxfId="166"/>
    <tableColumn id="22" xr3:uid="{BA3E3648-1D17-407E-8AA2-E2B455E442E0}" uniqueName="22" name="Column22" queryTableFieldId="22" dataDxfId="165"/>
    <tableColumn id="23" xr3:uid="{F4E782B8-DE54-450A-84A8-DB3EFBACE521}" uniqueName="23" name="Column23" queryTableFieldId="23" dataDxfId="164"/>
    <tableColumn id="24" xr3:uid="{AB77FF73-C4E3-4257-977E-67300F23928F}" uniqueName="24" name="Column24" queryTableFieldId="24" dataDxfId="163"/>
    <tableColumn id="25" xr3:uid="{4195A04B-7B4B-4277-A71C-CAE5A3A55D0A}" uniqueName="25" name="Column25" queryTableFieldId="25" dataDxfId="162"/>
    <tableColumn id="26" xr3:uid="{D389725E-4D47-43E8-AC66-DB8B431BBE77}" uniqueName="26" name="Column26" queryTableFieldId="26" dataDxfId="161"/>
    <tableColumn id="27" xr3:uid="{17E09193-063B-4DB2-9470-DFA9BDA042DC}" uniqueName="27" name="Column27" queryTableFieldId="27" dataDxfId="160"/>
    <tableColumn id="28" xr3:uid="{C3CD4F81-820E-4ADE-A402-E3682715A697}" uniqueName="28" name="Column28" queryTableFieldId="28" dataDxfId="159"/>
    <tableColumn id="29" xr3:uid="{714A3ED7-BDC3-48F2-9BCD-B8E194CE7CE7}" uniqueName="29" name="Column29" queryTableFieldId="29" dataDxfId="158"/>
    <tableColumn id="30" xr3:uid="{F81E0CEC-F73D-428C-8E90-FAC1559A7783}" uniqueName="30" name="Column30" queryTableFieldId="30" dataDxfId="157"/>
    <tableColumn id="31" xr3:uid="{479A4B13-2387-457E-A46B-A28DED23C272}" uniqueName="31" name="Column31" queryTableFieldId="31" dataDxfId="156"/>
    <tableColumn id="32" xr3:uid="{4A481194-AE0A-44FF-9DD2-90791E647D18}" uniqueName="32" name="Column32" queryTableFieldId="32" dataDxfId="155"/>
    <tableColumn id="33" xr3:uid="{AFADBE8C-5663-4DA8-91C0-11DDB7F278C5}" uniqueName="33" name="Column33" queryTableFieldId="33" dataDxfId="154"/>
    <tableColumn id="34" xr3:uid="{F0E9B2F0-095A-45CF-8967-8F8F9640B1D5}" uniqueName="34" name="Column34" queryTableFieldId="34" dataDxfId="153"/>
    <tableColumn id="35" xr3:uid="{74CADBA5-9DC0-4C84-9B81-2108B8BDA874}" uniqueName="35" name="Column35" queryTableFieldId="35" dataDxfId="152"/>
    <tableColumn id="36" xr3:uid="{2D632134-0024-4FB9-841E-9C614D6E5F99}" uniqueName="36" name="Column36" queryTableFieldId="36" dataDxfId="151"/>
    <tableColumn id="37" xr3:uid="{FD05D275-B8DA-407E-BFCF-03F7DF2D0C05}" uniqueName="37" name="Column37" queryTableFieldId="37" dataDxfId="150"/>
    <tableColumn id="38" xr3:uid="{AB4449A2-91D1-4A48-9E82-8892F0776E35}" uniqueName="38" name="Column38" queryTableFieldId="38" dataDxfId="149"/>
    <tableColumn id="39" xr3:uid="{13911F70-A422-4A2A-97F3-30348895E88C}" uniqueName="39" name="Column39" queryTableFieldId="39" dataDxfId="148"/>
    <tableColumn id="40" xr3:uid="{478C1388-2D54-4094-BBFD-954FA76F28D3}" uniqueName="40" name="Column40" queryTableFieldId="40" dataDxfId="147"/>
    <tableColumn id="41" xr3:uid="{52159E4C-0153-43CA-9327-596144364F2C}" uniqueName="41" name="Column41" queryTableFieldId="41" dataDxfId="146"/>
    <tableColumn id="42" xr3:uid="{A41AB8D7-1E15-4165-A027-31EE3022BF57}" uniqueName="42" name="Column42" queryTableFieldId="42" dataDxfId="145"/>
    <tableColumn id="43" xr3:uid="{75B9BAE9-6467-4B77-A576-D8CAEE7705C0}" uniqueName="43" name="Column43" queryTableFieldId="43" dataDxfId="144"/>
    <tableColumn id="44" xr3:uid="{5A0571F2-2565-4C5D-9A23-FDB3197FBC16}" uniqueName="44" name="Column44" queryTableFieldId="44" dataDxfId="143"/>
    <tableColumn id="45" xr3:uid="{171AE115-357C-48E1-955E-2727ED3DFEB7}" uniqueName="45" name="Column45" queryTableFieldId="45" dataDxfId="142"/>
    <tableColumn id="46" xr3:uid="{8E810278-FFF9-4AB0-8D1C-4A3EDB2D6CAE}" uniqueName="46" name="Column46" queryTableFieldId="46" dataDxfId="141"/>
    <tableColumn id="47" xr3:uid="{017D66CB-5B93-46FB-986E-598D35FAF112}" uniqueName="47" name="Column47" queryTableFieldId="47" dataDxfId="140"/>
    <tableColumn id="48" xr3:uid="{9CC56F97-2AF0-4532-B2C1-D43A63818CD9}" uniqueName="48" name="Column48" queryTableFieldId="48" dataDxfId="139"/>
    <tableColumn id="49" xr3:uid="{915A69C8-2AD5-4C4D-B526-590B82CF9424}" uniqueName="49" name="Column49" queryTableFieldId="49" dataDxfId="138"/>
    <tableColumn id="50" xr3:uid="{BF8C4EBB-0DC9-4857-A567-37029A431BC8}" uniqueName="50" name="Column50" queryTableFieldId="50" dataDxfId="137"/>
    <tableColumn id="51" xr3:uid="{29459DBD-3B71-4BE4-85EB-E4910CC946DE}" uniqueName="51" name="Column51" queryTableFieldId="51" dataDxfId="136"/>
    <tableColumn id="52" xr3:uid="{7651F401-A5CF-4822-B64D-547FA508FFAD}" uniqueName="52" name="Column52" queryTableFieldId="52" dataDxfId="135"/>
    <tableColumn id="53" xr3:uid="{B8BA12C2-B025-4A13-849A-5EA1D317D44F}" uniqueName="53" name="Column53" queryTableFieldId="53" dataDxfId="134"/>
    <tableColumn id="54" xr3:uid="{ACFAA7C6-FDF9-4C0E-82F8-0C6CB8F356F1}" uniqueName="54" name="Column54" queryTableFieldId="54" dataDxfId="133"/>
    <tableColumn id="55" xr3:uid="{BBCCE59D-1CD5-4804-9E2C-184CC4A73C96}" uniqueName="55" name="Column55" queryTableFieldId="55" dataDxfId="132"/>
    <tableColumn id="56" xr3:uid="{A32D1960-38F0-4CE2-91BE-9DD6594E6A3E}" uniqueName="56" name="Column56" queryTableFieldId="56" dataDxfId="131"/>
    <tableColumn id="57" xr3:uid="{5C2C01F7-6034-492C-8EC3-B90335DDEF97}" uniqueName="57" name="Column57" queryTableFieldId="57" dataDxfId="130"/>
    <tableColumn id="58" xr3:uid="{B6770BFD-6730-4FC7-8417-60E96CF65523}" uniqueName="58" name="Column58" queryTableFieldId="58" dataDxfId="129"/>
    <tableColumn id="59" xr3:uid="{40D65C93-225B-4A08-A44A-D5E55294C409}" uniqueName="59" name="Column59" queryTableFieldId="59" dataDxfId="128"/>
    <tableColumn id="60" xr3:uid="{BD7DB45E-E24A-438C-849C-74BAD846BA07}" uniqueName="60" name="Column60" queryTableFieldId="60" dataDxfId="127"/>
    <tableColumn id="61" xr3:uid="{ABE0ACC8-ACBC-4DA2-85FF-0BA0AB1540C3}" uniqueName="61" name="Column61" queryTableFieldId="61" dataDxfId="126"/>
    <tableColumn id="62" xr3:uid="{608AA400-702F-444D-887A-6AE90BE71836}" uniqueName="62" name="Column62" queryTableFieldId="62" dataDxfId="125"/>
    <tableColumn id="63" xr3:uid="{A7F912E1-F146-421F-B15A-846C37F4FF49}" uniqueName="63" name="Column63" queryTableFieldId="63" dataDxfId="124"/>
    <tableColumn id="64" xr3:uid="{3DFD1353-9D5E-45D8-BAB8-EB67DFAE67CD}" uniqueName="64" name="Column64" queryTableFieldId="64" dataDxfId="123"/>
    <tableColumn id="65" xr3:uid="{727A4F20-331B-428C-B329-640A6C55497D}" uniqueName="65" name="Column65" queryTableFieldId="65" dataDxfId="122"/>
    <tableColumn id="66" xr3:uid="{67360D57-518E-44E4-BC89-4966845D5DA6}" uniqueName="66" name="Column66" queryTableFieldId="66" dataDxfId="121"/>
    <tableColumn id="67" xr3:uid="{8233DE80-FC52-49C4-BBAB-F93EE3E18EF1}" uniqueName="67" name="Column67" queryTableFieldId="67" dataDxfId="120"/>
    <tableColumn id="68" xr3:uid="{944EB401-DBAC-4D92-AA3A-EC19BC5D6986}" uniqueName="68" name="Column68" queryTableFieldId="68" dataDxfId="119"/>
    <tableColumn id="69" xr3:uid="{DD8F04C0-5F66-49EB-B6B0-25152D7511BB}" uniqueName="69" name="Column69" queryTableFieldId="69" dataDxfId="118"/>
    <tableColumn id="70" xr3:uid="{D360E62D-21B2-42EB-85D0-4714A451E3B0}" uniqueName="70" name="Column70" queryTableFieldId="70" dataDxfId="117"/>
    <tableColumn id="71" xr3:uid="{BFA154FE-77DC-4FD1-87CD-12846E5D5E24}" uniqueName="71" name="Column71" queryTableFieldId="71" dataDxfId="116"/>
    <tableColumn id="72" xr3:uid="{35F79226-687E-4924-A147-B0B43A576848}" uniqueName="72" name="Column72" queryTableFieldId="72" dataDxfId="115"/>
    <tableColumn id="73" xr3:uid="{EEFF90FF-EA9C-4EB4-AEBE-442B27637DD4}" uniqueName="73" name="Column73" queryTableFieldId="73" dataDxfId="114"/>
    <tableColumn id="74" xr3:uid="{B2C91933-E378-471B-B257-850F4BBEE9E8}" uniqueName="74" name="Column74" queryTableFieldId="74" dataDxfId="113"/>
    <tableColumn id="75" xr3:uid="{CCA801C9-B667-41E7-9D67-80E2176EC49D}" uniqueName="75" name="Column75" queryTableFieldId="75" dataDxfId="112"/>
    <tableColumn id="76" xr3:uid="{83A85F9C-6667-4792-8AFE-FC3D0FF442D7}" uniqueName="76" name="Column76" queryTableFieldId="76" dataDxfId="111"/>
    <tableColumn id="77" xr3:uid="{8C9BCDD6-DEDF-4A4C-9289-E2F16BB29D4E}" uniqueName="77" name="Column77" queryTableFieldId="77" dataDxfId="110"/>
    <tableColumn id="78" xr3:uid="{860B48D6-4F27-4698-B1AB-A5DB17CE3743}" uniqueName="78" name="Column78" queryTableFieldId="78" dataDxfId="109"/>
    <tableColumn id="79" xr3:uid="{7EA8A2F8-173A-4A6F-8C0D-F9E0B66EDB71}" uniqueName="79" name="Column79" queryTableFieldId="79" dataDxfId="108"/>
    <tableColumn id="80" xr3:uid="{B1D49CA8-A1E6-4D78-A413-4A9C8CA99526}" uniqueName="80" name="Column80" queryTableFieldId="80" dataDxfId="107"/>
    <tableColumn id="81" xr3:uid="{674B344C-374B-43B3-97A9-546DDB320AB1}" uniqueName="81" name="Column81" queryTableFieldId="81" dataDxfId="106"/>
    <tableColumn id="82" xr3:uid="{ECCCE5BD-CDD0-4BB7-AF47-5896EBD50B9A}" uniqueName="82" name="Column82" queryTableFieldId="82" dataDxfId="105"/>
    <tableColumn id="83" xr3:uid="{AD409A30-6A4E-46E1-B466-87D4E3E97AE8}" uniqueName="83" name="Column83" queryTableFieldId="83" dataDxfId="104"/>
    <tableColumn id="84" xr3:uid="{5FF11B91-1CF9-45CB-8A60-65F9A9D9A924}" uniqueName="84" name="Column84" queryTableFieldId="84" dataDxfId="103"/>
    <tableColumn id="85" xr3:uid="{565A685B-BBAB-453C-A158-31359BF2159A}" uniqueName="85" name="Column85" queryTableFieldId="85" dataDxfId="102"/>
    <tableColumn id="86" xr3:uid="{19C026F1-8E08-4933-AA06-416E4BEFD704}" uniqueName="86" name="Column86" queryTableFieldId="86" dataDxfId="101"/>
    <tableColumn id="87" xr3:uid="{8AFA6D30-956B-4975-A6E3-DB1D462A452A}" uniqueName="87" name="Column87" queryTableFieldId="87" dataDxfId="100"/>
    <tableColumn id="88" xr3:uid="{A1F868D5-64A2-4960-83D8-15F531F0BF51}" uniqueName="88" name="Column88" queryTableFieldId="88" dataDxfId="99"/>
    <tableColumn id="89" xr3:uid="{E6D1C487-9A31-4A9F-BF66-79585D472323}" uniqueName="89" name="Column89" queryTableFieldId="89" dataDxfId="98"/>
    <tableColumn id="90" xr3:uid="{784E6C5E-32B9-466A-8D58-85B483FA8E13}" uniqueName="90" name="Column90" queryTableFieldId="90" dataDxfId="97"/>
    <tableColumn id="91" xr3:uid="{849BBFB0-2127-4E8A-A0C1-E9D9FC978A25}" uniqueName="91" name="Column91" queryTableFieldId="91" dataDxfId="96"/>
    <tableColumn id="92" xr3:uid="{D708D07D-BA40-4B37-BB29-61ACAC282A49}" uniqueName="92" name="Column92" queryTableFieldId="92" dataDxfId="95"/>
    <tableColumn id="93" xr3:uid="{6C3ABF7D-4423-411E-954B-386FB2BE0629}" uniqueName="93" name="Column93" queryTableFieldId="93" dataDxfId="94"/>
    <tableColumn id="94" xr3:uid="{02550942-04DC-4839-97DA-5B62CBDB6582}" uniqueName="94" name="Column94" queryTableFieldId="94" dataDxfId="93"/>
    <tableColumn id="95" xr3:uid="{304AB832-7E05-45E2-9D2A-80A274472CBD}" uniqueName="95" name="Column95" queryTableFieldId="95" dataDxfId="92"/>
    <tableColumn id="96" xr3:uid="{034A5188-C91B-496A-8A4A-8F8BC0BBEDC6}" uniqueName="96" name="Column96" queryTableFieldId="96" dataDxfId="91"/>
    <tableColumn id="97" xr3:uid="{8B67C71A-A879-4955-929B-764BF9F91E92}" uniqueName="97" name="Column97" queryTableFieldId="97" dataDxfId="90"/>
    <tableColumn id="98" xr3:uid="{B6270F76-E490-4194-9DB0-66315EE35571}" uniqueName="98" name="Column98" queryTableFieldId="98" dataDxfId="89"/>
    <tableColumn id="99" xr3:uid="{19700F81-4474-4C70-886D-CFF201E4FB0C}" uniqueName="99" name="Column99" queryTableFieldId="99" dataDxfId="88"/>
    <tableColumn id="100" xr3:uid="{5895AE6F-D11F-4205-A2EC-C9E87A024613}" uniqueName="100" name="Column100" queryTableFieldId="100" dataDxfId="87"/>
    <tableColumn id="101" xr3:uid="{4EA1EE0F-9648-4D39-8CB8-5834517AD6BE}" uniqueName="101" name="Column101" queryTableFieldId="101" dataDxfId="86"/>
    <tableColumn id="102" xr3:uid="{CACEF3EF-92F2-4A6F-828F-A085F32C55B2}" uniqueName="102" name="Column102" queryTableFieldId="102" dataDxfId="85"/>
    <tableColumn id="103" xr3:uid="{78185944-1DA4-4409-9544-E9A3DA882199}" uniqueName="103" name="Column103" queryTableFieldId="103" dataDxfId="84"/>
    <tableColumn id="104" xr3:uid="{AD56C16D-7FF6-41BE-8101-925C9C29D06D}" uniqueName="104" name="Column104" queryTableFieldId="104" dataDxfId="83"/>
    <tableColumn id="105" xr3:uid="{2C4A60BF-FC62-44F4-BBE6-AC075E06718E}" uniqueName="105" name="Column105" queryTableFieldId="105" dataDxfId="82"/>
    <tableColumn id="106" xr3:uid="{741A4038-4B21-4898-BD7A-E2ADCFBD8E4A}" uniqueName="106" name="Column106" queryTableFieldId="106" dataDxfId="81"/>
    <tableColumn id="107" xr3:uid="{18E86950-A04A-4E5E-A855-631E8B3A0DDE}" uniqueName="107" name="Column107" queryTableFieldId="107" dataDxfId="80"/>
    <tableColumn id="108" xr3:uid="{A8CA693F-92C3-4C68-8D2B-A9E8F10C9874}" uniqueName="108" name="Column108" queryTableFieldId="108" dataDxfId="79"/>
    <tableColumn id="109" xr3:uid="{FE9A195A-830E-4547-ACAD-A0336E14B5E9}" uniqueName="109" name="Column109" queryTableFieldId="109" dataDxfId="78"/>
    <tableColumn id="110" xr3:uid="{923C666A-4469-4027-8193-9CBE4D32D1BE}" uniqueName="110" name="Column110" queryTableFieldId="110" dataDxfId="77"/>
    <tableColumn id="111" xr3:uid="{78A98372-F7DF-4DEC-BB30-422FE03417DE}" uniqueName="111" name="Column111" queryTableFieldId="111" dataDxfId="76"/>
    <tableColumn id="112" xr3:uid="{329BFBA8-5B44-4CD6-B91B-256FE9830B09}" uniqueName="112" name="Column112" queryTableFieldId="112" dataDxfId="75"/>
    <tableColumn id="113" xr3:uid="{B2657740-D92C-44CA-80FF-B590650CC176}" uniqueName="113" name="Column113" queryTableFieldId="113" dataDxfId="74"/>
    <tableColumn id="114" xr3:uid="{9045292E-FD26-481B-8722-0723BD672A9B}" uniqueName="114" name="Column114" queryTableFieldId="114" dataDxfId="73"/>
    <tableColumn id="115" xr3:uid="{4D1C30E2-80EB-4717-9D9F-DDA3C7DDD317}" uniqueName="115" name="Column115" queryTableFieldId="115" dataDxfId="72"/>
    <tableColumn id="116" xr3:uid="{CB7CA2D0-6A70-4813-8962-31036B8BB98F}" uniqueName="116" name="Column116" queryTableFieldId="116" dataDxfId="71"/>
    <tableColumn id="117" xr3:uid="{708AA0F7-B340-488D-9580-C428FE890538}" uniqueName="117" name="Column117" queryTableFieldId="117" dataDxfId="70"/>
    <tableColumn id="118" xr3:uid="{F5DD78DB-E074-4EA8-93E1-A25B855B6AF1}" uniqueName="118" name="Column118" queryTableFieldId="118" dataDxfId="69"/>
    <tableColumn id="119" xr3:uid="{A99A4586-BABA-45AE-AD78-07C680D7B4A8}" uniqueName="119" name="Column119" queryTableFieldId="119" dataDxfId="68"/>
    <tableColumn id="120" xr3:uid="{C7378DE4-91CE-49FE-B2AA-63731BBBEEBE}" uniqueName="120" name="Column120" queryTableFieldId="120" dataDxfId="67"/>
    <tableColumn id="121" xr3:uid="{83F197F6-101A-471E-B499-F35CEF3EE57E}" uniqueName="121" name="Column121" queryTableFieldId="121" dataDxfId="66"/>
    <tableColumn id="122" xr3:uid="{204F84AC-B10F-4E30-9763-9675A473E196}" uniqueName="122" name="Column122" queryTableFieldId="122" dataDxfId="65"/>
    <tableColumn id="123" xr3:uid="{0D94D5D7-422D-45DA-A0A4-F4A4F26614F5}" uniqueName="123" name="Column123" queryTableFieldId="123" dataDxfId="64"/>
    <tableColumn id="124" xr3:uid="{E9C9BB92-B040-49CD-9504-C92105F2D36C}" uniqueName="124" name="Column124" queryTableFieldId="124" dataDxfId="63"/>
    <tableColumn id="125" xr3:uid="{4E757B7F-9231-4A1B-A12D-0D4FF313CCF5}" uniqueName="125" name="Column125" queryTableFieldId="125" dataDxfId="62"/>
    <tableColumn id="126" xr3:uid="{796C7616-C7AA-411E-B797-896C5DC9B7E1}" uniqueName="126" name="Column126" queryTableFieldId="126" dataDxfId="61"/>
    <tableColumn id="127" xr3:uid="{C87F2C55-7862-4204-BEA5-5C460C2B7A76}" uniqueName="127" name="Column127" queryTableFieldId="127" dataDxfId="60"/>
    <tableColumn id="128" xr3:uid="{1AEB104D-E6E0-4AE5-B509-257D7EDC38ED}" uniqueName="128" name="Column128" queryTableFieldId="128" dataDxfId="59"/>
    <tableColumn id="129" xr3:uid="{A078218D-7B81-4A76-B95F-B19D74824776}" uniqueName="129" name="Column129" queryTableFieldId="129" dataDxfId="58"/>
    <tableColumn id="130" xr3:uid="{D953C482-32BC-4BDC-9444-20CE55120DB4}" uniqueName="130" name="Column130" queryTableFieldId="130" dataDxfId="57"/>
    <tableColumn id="131" xr3:uid="{5082E675-9362-4610-86F3-702DBC75120C}" uniqueName="131" name="Column131" queryTableFieldId="131" dataDxfId="56"/>
    <tableColumn id="132" xr3:uid="{15589A90-BB34-4647-8948-13630B37CB09}" uniqueName="132" name="Column132" queryTableFieldId="132" dataDxfId="55"/>
    <tableColumn id="133" xr3:uid="{BFE489C0-AEDB-4AB9-A815-0BFF1D6769F3}" uniqueName="133" name="Column133" queryTableFieldId="133" dataDxfId="54"/>
    <tableColumn id="134" xr3:uid="{E967BC51-A05B-44A5-B6EC-AB5CB9DE177F}" uniqueName="134" name="Column134" queryTableFieldId="134" dataDxfId="53"/>
    <tableColumn id="135" xr3:uid="{D6959D39-CB68-4916-B6F9-1F982457C13B}" uniqueName="135" name="Column135" queryTableFieldId="135" dataDxfId="52"/>
    <tableColumn id="136" xr3:uid="{DCBB9117-3AA5-4B8A-B770-E1D5B41EC41A}" uniqueName="136" name="Column136" queryTableFieldId="136" dataDxfId="51"/>
    <tableColumn id="137" xr3:uid="{1B19FF93-2F54-437F-B5D7-23AFF57E93E5}" uniqueName="137" name="Column137" queryTableFieldId="137" dataDxfId="50"/>
    <tableColumn id="138" xr3:uid="{B2E294AE-3829-453B-964B-ECADA33DD20E}" uniqueName="138" name="Column138" queryTableFieldId="138" dataDxfId="49"/>
    <tableColumn id="139" xr3:uid="{FC99D2B6-E80A-44A0-B88C-CE7A555ABF6A}" uniqueName="139" name="Column139" queryTableFieldId="139" dataDxfId="48"/>
    <tableColumn id="140" xr3:uid="{B325268E-FD77-43DE-8ACD-BB924D1F2E83}" uniqueName="140" name="Column140" queryTableFieldId="140" dataDxfId="47"/>
    <tableColumn id="141" xr3:uid="{68D1D891-8EE0-4AE8-B457-518F52047E79}" uniqueName="141" name="Column141" queryTableFieldId="141" dataDxfId="46"/>
    <tableColumn id="142" xr3:uid="{B9B4143C-0126-4320-8288-0420C53AF226}" uniqueName="142" name="Column142" queryTableFieldId="142" dataDxfId="45"/>
    <tableColumn id="143" xr3:uid="{74FE9586-5C24-420A-8973-9DC0CFAC72E2}" uniqueName="143" name="Column143" queryTableFieldId="143" dataDxfId="44"/>
    <tableColumn id="144" xr3:uid="{CF658FAD-067C-4B00-BEEC-24058DDFA6F1}" uniqueName="144" name="Column144" queryTableFieldId="144" dataDxfId="43"/>
    <tableColumn id="145" xr3:uid="{A447ADF9-9C6B-4CD5-82E6-3C0E0E805CAA}" uniqueName="145" name="Column145" queryTableFieldId="145" dataDxfId="42"/>
    <tableColumn id="146" xr3:uid="{6EDAA850-FB67-4D64-8CE9-B5BA75E83953}" uniqueName="146" name="Column146" queryTableFieldId="146" dataDxfId="41"/>
    <tableColumn id="147" xr3:uid="{9024A293-D27B-4570-8E68-DEA5CB74C666}" uniqueName="147" name="Column147" queryTableFieldId="147" dataDxfId="40"/>
    <tableColumn id="148" xr3:uid="{A5E037C3-2199-43ED-A697-5DC66993124A}" uniqueName="148" name="Column148" queryTableFieldId="148" dataDxfId="39"/>
    <tableColumn id="149" xr3:uid="{B395A80D-265D-4213-A315-7F34625BBC1F}" uniqueName="149" name="Column149" queryTableFieldId="149" dataDxfId="38"/>
    <tableColumn id="150" xr3:uid="{EF5E1F12-6C47-4152-BED8-C9327785577C}" uniqueName="150" name="Column150" queryTableFieldId="150" dataDxfId="37"/>
    <tableColumn id="151" xr3:uid="{7C57C6CF-38C7-49CD-906B-0F3A9E26E6F0}" uniqueName="151" name="Column151" queryTableFieldId="151" dataDxfId="36"/>
    <tableColumn id="152" xr3:uid="{F4B067E8-BD13-41BE-BF84-B1D91DD7C639}" uniqueName="152" name="Column152" queryTableFieldId="152" dataDxfId="35"/>
    <tableColumn id="153" xr3:uid="{35BC7B02-C7DF-494F-94E8-FDE102800B9F}" uniqueName="153" name="Column153" queryTableFieldId="153" dataDxfId="34"/>
    <tableColumn id="154" xr3:uid="{F8549508-6BFD-44DE-88D3-408F55182F34}" uniqueName="154" name="Column154" queryTableFieldId="154" dataDxfId="33"/>
    <tableColumn id="155" xr3:uid="{CB88197E-FF36-434F-BFDE-30347B0C6943}" uniqueName="155" name="Column155" queryTableFieldId="155" dataDxfId="32"/>
    <tableColumn id="156" xr3:uid="{0E6893ED-FD2F-492B-90E8-5ECD6715F903}" uniqueName="156" name="Column156" queryTableFieldId="156" dataDxfId="31"/>
    <tableColumn id="157" xr3:uid="{A7AB2145-B281-48EA-A539-8F6CD5867279}" uniqueName="157" name="Column157" queryTableFieldId="157" dataDxfId="30"/>
    <tableColumn id="158" xr3:uid="{3ED9E4E2-80BA-4AA1-9D81-4F4F69321528}" uniqueName="158" name="Column158" queryTableFieldId="158" dataDxfId="29"/>
    <tableColumn id="159" xr3:uid="{5260165F-6897-4D5A-A716-D14E91415BCB}" uniqueName="159" name="Column159" queryTableFieldId="159" dataDxfId="28"/>
    <tableColumn id="160" xr3:uid="{35BC66C4-BCE7-498B-B9B8-4B15FDD7F8A7}" uniqueName="160" name="Column160" queryTableFieldId="160" dataDxfId="27"/>
    <tableColumn id="161" xr3:uid="{017784FE-00AC-41D3-9BCE-87347D2DE56C}" uniqueName="161" name="Column161" queryTableFieldId="161" dataDxfId="26"/>
    <tableColumn id="162" xr3:uid="{A7E41EA4-65F2-48C4-9662-C48CBBF8B39D}" uniqueName="162" name="Column162" queryTableFieldId="162" dataDxfId="25"/>
    <tableColumn id="163" xr3:uid="{0BF4EE9D-0C2F-401E-BBA9-B3E62C099E6B}" uniqueName="163" name="Column163" queryTableFieldId="163" dataDxfId="24"/>
    <tableColumn id="164" xr3:uid="{C6A6E345-0D8F-4213-8CE4-0EC2FDFF3DAB}" uniqueName="164" name="Column164" queryTableFieldId="164"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9F514-6D22-49EF-AE1F-DD0864AE6F0E}" name="Table_0" displayName="Table_0" ref="A1:E13" tableType="queryTable" totalsRowShown="0">
  <autoFilter ref="A1:E13" xr:uid="{C88EDA22-FA7C-48BA-8872-FE7DCDA6736B}"/>
  <tableColumns count="5">
    <tableColumn id="1" xr3:uid="{D636FCAB-D01D-45B0-B799-03C0D7CD93C4}" uniqueName="1" name="Column1" queryTableFieldId="1" dataDxfId="22"/>
    <tableColumn id="2" xr3:uid="{EB417AD9-C5D3-4C07-997B-12091F170805}" uniqueName="2" name="Column2" queryTableFieldId="2" dataDxfId="21"/>
    <tableColumn id="3" xr3:uid="{D19F8A3F-042C-4A0A-8BC8-CDCAF2A667D5}" uniqueName="3" name="Column3" queryTableFieldId="3" dataDxfId="20"/>
    <tableColumn id="4" xr3:uid="{0719D3AD-55C2-433D-A3A7-B244C4662E46}" uniqueName="4" name="Column4" queryTableFieldId="4" dataDxfId="19"/>
    <tableColumn id="5" xr3:uid="{2A079F68-A90C-414F-890B-3F554C48BBF6}" uniqueName="5" name="Column5" queryTableFieldId="5"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7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0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2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7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7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8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0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0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4.bin"/></Relationships>
</file>

<file path=xl/worksheets/_rels/sheet40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5.bin"/></Relationships>
</file>

<file path=xl/worksheets/_rels/sheet41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sheetPr codeName="Sheet1"/>
  <dimension ref="A1:C55"/>
  <sheetViews>
    <sheetView topLeftCell="A49" workbookViewId="0">
      <selection activeCell="B63" sqref="B63"/>
    </sheetView>
  </sheetViews>
  <sheetFormatPr defaultRowHeight="13.8"/>
  <cols>
    <col min="1" max="1" width="24.88671875" style="18" bestFit="1" customWidth="1"/>
    <col min="2" max="2" width="156.33203125" style="150" customWidth="1"/>
    <col min="3" max="3" width="24.77734375" style="18" customWidth="1"/>
    <col min="4" max="16384" width="8.88671875" style="18"/>
  </cols>
  <sheetData>
    <row r="1" spans="1:3">
      <c r="A1" s="18" t="s">
        <v>125</v>
      </c>
      <c r="B1" s="246" t="s">
        <v>3240</v>
      </c>
      <c r="C1" s="18" t="s">
        <v>3241</v>
      </c>
    </row>
    <row r="2" spans="1:3">
      <c r="A2" s="18" t="s">
        <v>1241</v>
      </c>
      <c r="B2" s="539">
        <v>44561</v>
      </c>
    </row>
    <row r="3" spans="1:3">
      <c r="A3" s="18" t="s">
        <v>1242</v>
      </c>
      <c r="B3" s="246" t="s">
        <v>4856</v>
      </c>
    </row>
    <row r="4" spans="1:3">
      <c r="A4" s="150" t="s">
        <v>3144</v>
      </c>
      <c r="B4" s="137" t="s">
        <v>3146</v>
      </c>
    </row>
    <row r="5" spans="1:3">
      <c r="A5" s="150" t="s">
        <v>3147</v>
      </c>
      <c r="B5" s="137" t="s">
        <v>3148</v>
      </c>
    </row>
    <row r="6" spans="1:3">
      <c r="A6" s="150" t="s">
        <v>3149</v>
      </c>
      <c r="B6" s="150" t="s">
        <v>3150</v>
      </c>
    </row>
    <row r="7" spans="1:3">
      <c r="A7" s="150" t="s">
        <v>3151</v>
      </c>
      <c r="B7" s="150" t="s">
        <v>3152</v>
      </c>
    </row>
    <row r="8" spans="1:3">
      <c r="A8" s="150" t="s">
        <v>3153</v>
      </c>
      <c r="B8" s="137" t="s">
        <v>3154</v>
      </c>
    </row>
    <row r="9" spans="1:3">
      <c r="A9" s="150" t="s">
        <v>3155</v>
      </c>
      <c r="B9" s="137" t="s">
        <v>3154</v>
      </c>
    </row>
    <row r="10" spans="1:3">
      <c r="A10" s="150" t="s">
        <v>3156</v>
      </c>
      <c r="B10" s="538" t="s">
        <v>3243</v>
      </c>
      <c r="C10" s="18" t="s">
        <v>3242</v>
      </c>
    </row>
    <row r="11" spans="1:3">
      <c r="A11" s="150" t="s">
        <v>3157</v>
      </c>
      <c r="B11" s="150" t="s">
        <v>3158</v>
      </c>
    </row>
    <row r="12" spans="1:3">
      <c r="A12" s="150" t="s">
        <v>3159</v>
      </c>
      <c r="B12" s="150" t="s">
        <v>3160</v>
      </c>
    </row>
    <row r="13" spans="1:3">
      <c r="A13" s="150" t="s">
        <v>3161</v>
      </c>
      <c r="B13" s="150" t="s">
        <v>4857</v>
      </c>
    </row>
    <row r="14" spans="1:3">
      <c r="A14" s="150" t="s">
        <v>3162</v>
      </c>
      <c r="B14" s="137" t="s">
        <v>3146</v>
      </c>
    </row>
    <row r="15" spans="1:3">
      <c r="A15" s="150" t="s">
        <v>3163</v>
      </c>
      <c r="B15" s="137" t="s">
        <v>3913</v>
      </c>
    </row>
    <row r="16" spans="1:3">
      <c r="A16" s="150" t="s">
        <v>3166</v>
      </c>
      <c r="B16" s="137" t="s">
        <v>3915</v>
      </c>
    </row>
    <row r="17" spans="1:2">
      <c r="A17" s="150" t="s">
        <v>3169</v>
      </c>
      <c r="B17" s="137" t="s">
        <v>3918</v>
      </c>
    </row>
    <row r="18" spans="1:2">
      <c r="A18" s="150" t="s">
        <v>3172</v>
      </c>
      <c r="B18" s="150" t="s">
        <v>3171</v>
      </c>
    </row>
    <row r="19" spans="1:2" ht="69">
      <c r="A19" s="150" t="s">
        <v>3173</v>
      </c>
      <c r="B19" s="538" t="s">
        <v>3174</v>
      </c>
    </row>
    <row r="20" spans="1:2" ht="41.4">
      <c r="A20" s="150" t="s">
        <v>3175</v>
      </c>
      <c r="B20" s="538" t="s">
        <v>3176</v>
      </c>
    </row>
    <row r="21" spans="1:2">
      <c r="A21" s="150" t="s">
        <v>3177</v>
      </c>
      <c r="B21" s="150" t="s">
        <v>3178</v>
      </c>
    </row>
    <row r="22" spans="1:2">
      <c r="A22" s="150" t="s">
        <v>3179</v>
      </c>
      <c r="B22" s="150" t="s">
        <v>3180</v>
      </c>
    </row>
    <row r="23" spans="1:2">
      <c r="A23" s="150" t="s">
        <v>3181</v>
      </c>
      <c r="B23" s="540" t="s">
        <v>4945</v>
      </c>
    </row>
    <row r="24" spans="1:2">
      <c r="A24" s="150" t="s">
        <v>3182</v>
      </c>
      <c r="B24" s="150" t="s">
        <v>3183</v>
      </c>
    </row>
    <row r="25" spans="1:2">
      <c r="A25" s="150" t="s">
        <v>3184</v>
      </c>
      <c r="B25" s="538" t="s">
        <v>3185</v>
      </c>
    </row>
    <row r="26" spans="1:2" ht="27.6">
      <c r="A26" s="150" t="s">
        <v>3186</v>
      </c>
      <c r="B26" s="538" t="s">
        <v>3187</v>
      </c>
    </row>
    <row r="27" spans="1:2">
      <c r="A27" s="150" t="s">
        <v>3188</v>
      </c>
      <c r="B27" s="150" t="s">
        <v>3189</v>
      </c>
    </row>
    <row r="28" spans="1:2">
      <c r="A28" s="150" t="s">
        <v>3190</v>
      </c>
      <c r="B28" s="137" t="s">
        <v>3191</v>
      </c>
    </row>
    <row r="29" spans="1:2">
      <c r="A29" s="150" t="s">
        <v>3192</v>
      </c>
      <c r="B29" s="137" t="s">
        <v>3193</v>
      </c>
    </row>
    <row r="30" spans="1:2">
      <c r="A30" s="150" t="s">
        <v>3194</v>
      </c>
      <c r="B30" s="137" t="s">
        <v>3195</v>
      </c>
    </row>
    <row r="31" spans="1:2">
      <c r="A31" s="150" t="s">
        <v>3196</v>
      </c>
      <c r="B31" s="137" t="s">
        <v>3197</v>
      </c>
    </row>
    <row r="32" spans="1:2">
      <c r="A32" s="150" t="s">
        <v>3198</v>
      </c>
      <c r="B32" s="538" t="s">
        <v>3199</v>
      </c>
    </row>
    <row r="33" spans="1:3">
      <c r="A33" s="150" t="s">
        <v>3202</v>
      </c>
      <c r="B33" s="150" t="s">
        <v>3200</v>
      </c>
    </row>
    <row r="34" spans="1:3">
      <c r="A34" s="150" t="s">
        <v>3201</v>
      </c>
      <c r="B34" s="150" t="s">
        <v>3238</v>
      </c>
    </row>
    <row r="35" spans="1:3">
      <c r="A35" s="150" t="s">
        <v>3203</v>
      </c>
      <c r="B35" s="150" t="s">
        <v>3204</v>
      </c>
    </row>
    <row r="36" spans="1:3">
      <c r="A36" s="150" t="s">
        <v>3205</v>
      </c>
      <c r="B36" s="150" t="s">
        <v>3206</v>
      </c>
    </row>
    <row r="37" spans="1:3">
      <c r="A37" s="150" t="s">
        <v>3207</v>
      </c>
      <c r="B37" s="538" t="s">
        <v>3208</v>
      </c>
    </row>
    <row r="38" spans="1:3">
      <c r="A38" s="150" t="s">
        <v>3209</v>
      </c>
      <c r="B38" s="538" t="s">
        <v>3210</v>
      </c>
    </row>
    <row r="39" spans="1:3" ht="157.80000000000001" customHeight="1">
      <c r="A39" s="150" t="s">
        <v>3211</v>
      </c>
      <c r="B39" s="538" t="s">
        <v>3212</v>
      </c>
    </row>
    <row r="40" spans="1:3" ht="86.4" customHeight="1">
      <c r="A40" s="150" t="s">
        <v>3213</v>
      </c>
      <c r="B40" s="538" t="s">
        <v>3214</v>
      </c>
    </row>
    <row r="41" spans="1:3">
      <c r="A41" s="150" t="s">
        <v>3215</v>
      </c>
      <c r="B41" s="538" t="s">
        <v>3216</v>
      </c>
    </row>
    <row r="42" spans="1:3">
      <c r="A42" s="150" t="s">
        <v>3217</v>
      </c>
      <c r="B42" s="150" t="s">
        <v>3154</v>
      </c>
    </row>
    <row r="43" spans="1:3">
      <c r="A43" s="150" t="s">
        <v>3218</v>
      </c>
      <c r="B43" s="18" t="s">
        <v>3244</v>
      </c>
      <c r="C43" s="18" t="s">
        <v>3244</v>
      </c>
    </row>
    <row r="44" spans="1:3" ht="94.2" customHeight="1">
      <c r="A44" s="150" t="s">
        <v>3219</v>
      </c>
      <c r="B44" s="538" t="s">
        <v>3220</v>
      </c>
    </row>
    <row r="45" spans="1:3" ht="131.4" customHeight="1">
      <c r="A45" s="150" t="s">
        <v>3221</v>
      </c>
      <c r="B45" s="538" t="s">
        <v>3222</v>
      </c>
    </row>
    <row r="46" spans="1:3" ht="69">
      <c r="A46" s="150" t="s">
        <v>3223</v>
      </c>
      <c r="B46" s="538" t="s">
        <v>3224</v>
      </c>
    </row>
    <row r="47" spans="1:3">
      <c r="A47" s="150" t="s">
        <v>3225</v>
      </c>
      <c r="B47" s="150">
        <v>4.6100000000000003</v>
      </c>
    </row>
    <row r="48" spans="1:3" ht="55.2">
      <c r="A48" s="150" t="s">
        <v>3226</v>
      </c>
      <c r="B48" s="538" t="s">
        <v>3239</v>
      </c>
    </row>
    <row r="49" spans="1:2" ht="41.4">
      <c r="A49" s="150" t="s">
        <v>3227</v>
      </c>
      <c r="B49" s="538" t="s">
        <v>3228</v>
      </c>
    </row>
    <row r="50" spans="1:2">
      <c r="A50" s="150" t="s">
        <v>3231</v>
      </c>
      <c r="B50" s="137" t="s">
        <v>3230</v>
      </c>
    </row>
    <row r="51" spans="1:2">
      <c r="A51" s="150" t="s">
        <v>3232</v>
      </c>
      <c r="B51" s="137" t="s">
        <v>3230</v>
      </c>
    </row>
    <row r="52" spans="1:2">
      <c r="A52" s="150" t="s">
        <v>3233</v>
      </c>
      <c r="B52" s="137" t="s">
        <v>3230</v>
      </c>
    </row>
    <row r="53" spans="1:2">
      <c r="A53" s="150" t="s">
        <v>3234</v>
      </c>
      <c r="B53" s="137" t="s">
        <v>3229</v>
      </c>
    </row>
    <row r="54" spans="1:2">
      <c r="A54" s="150" t="s">
        <v>3235</v>
      </c>
      <c r="B54" s="137" t="s">
        <v>3230</v>
      </c>
    </row>
    <row r="55" spans="1:2">
      <c r="A55" s="150" t="s">
        <v>3236</v>
      </c>
      <c r="B55" s="150" t="s">
        <v>3237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信息分类表!$2:$2</xm:f>
          </x14:formula1>
          <xm:sqref>B14 B4</xm:sqref>
        </x14:dataValidation>
        <x14:dataValidation type="list" allowBlank="1" showInputMessage="1" showErrorMessage="1" xr:uid="{068EC227-69AD-4730-A9AF-A4C2E068CB49}">
          <x14:formula1>
            <xm:f>信息分类表!$3:$3</xm:f>
          </x14:formula1>
          <xm:sqref>B5</xm:sqref>
        </x14:dataValidation>
        <x14:dataValidation type="list" allowBlank="1" showInputMessage="1" showErrorMessage="1" xr:uid="{2115CAB8-6B3F-4E6D-9D81-D3B1EAD97F60}">
          <x14:formula1>
            <xm:f>信息分类表!$4:$4</xm:f>
          </x14:formula1>
          <xm:sqref>B42 B8:B9</xm:sqref>
        </x14:dataValidation>
        <x14:dataValidation type="list" allowBlank="1" showInputMessage="1" showErrorMessage="1" xr:uid="{1F16863B-AACB-4AEA-BA31-615DE8CAF8AE}">
          <x14:formula1>
            <xm:f>信息分类表!$5:$5</xm:f>
          </x14:formula1>
          <xm:sqref>B15</xm:sqref>
        </x14:dataValidation>
        <x14:dataValidation type="list" allowBlank="1" showInputMessage="1" showErrorMessage="1" xr:uid="{622B2A5F-DCA7-4B8B-BB4A-29FC84BEA362}">
          <x14:formula1>
            <xm:f>信息分类表!$6:$6</xm:f>
          </x14:formula1>
          <xm:sqref>B16</xm:sqref>
        </x14:dataValidation>
        <x14:dataValidation type="list" allowBlank="1" showInputMessage="1" showErrorMessage="1" xr:uid="{B2AE767D-4A3B-42E8-AA38-D5E06BE53CA0}">
          <x14:formula1>
            <xm:f>信息分类表!$7:$7</xm:f>
          </x14:formula1>
          <xm:sqref>B17</xm:sqref>
        </x14:dataValidation>
        <x14:dataValidation type="list" allowBlank="1" showInputMessage="1" showErrorMessage="1" xr:uid="{AB2F67DE-14B8-4C4F-AE76-7A21FC684EEA}">
          <x14:formula1>
            <xm:f>信息分类表!$8:$8</xm:f>
          </x14:formula1>
          <xm:sqref>B28</xm:sqref>
        </x14:dataValidation>
        <x14:dataValidation type="list" allowBlank="1" showInputMessage="1" showErrorMessage="1" xr:uid="{9322F8F2-413D-41E7-A712-22ED76FFC281}">
          <x14:formula1>
            <xm:f>信息分类表!$9:$9</xm:f>
          </x14:formula1>
          <xm:sqref>B29</xm:sqref>
        </x14:dataValidation>
        <x14:dataValidation type="list" allowBlank="1" showInputMessage="1" showErrorMessage="1" xr:uid="{72EE88A7-E13B-4F0F-A65A-1974C34AF884}">
          <x14:formula1>
            <xm:f>信息分类表!$10:$10</xm:f>
          </x14:formula1>
          <xm:sqref>B30</xm:sqref>
        </x14:dataValidation>
        <x14:dataValidation type="list" allowBlank="1" showInputMessage="1" showErrorMessage="1" xr:uid="{31C9656E-55CF-46C6-884B-DE365FFC2046}">
          <x14:formula1>
            <xm:f>信息分类表!$11:$11</xm:f>
          </x14:formula1>
          <xm:sqref>B31</xm:sqref>
        </x14:dataValidation>
        <x14:dataValidation type="list" allowBlank="1" showInputMessage="1" showErrorMessage="1" xr:uid="{496F3732-936D-4FF8-9C5D-8AA8E93105B9}">
          <x14:formula1>
            <xm:f>信息分类表!$12:$12</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sheetPr codeName="Sheet9"/>
  <dimension ref="A1:I3"/>
  <sheetViews>
    <sheetView view="pageBreakPreview" zoomScaleNormal="100" zoomScaleSheetLayoutView="100" workbookViewId="0">
      <selection activeCell="D19" sqref="D19"/>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1236</v>
      </c>
      <c r="C1" s="62" t="s">
        <v>1237</v>
      </c>
      <c r="D1" s="62" t="s">
        <v>1238</v>
      </c>
      <c r="E1" s="62" t="s">
        <v>1239</v>
      </c>
      <c r="F1" s="105" t="s">
        <v>792</v>
      </c>
      <c r="G1" s="105" t="s">
        <v>793</v>
      </c>
      <c r="H1" s="62" t="s">
        <v>1240</v>
      </c>
      <c r="I1" s="105">
        <f>SUM(F:F)-SUM(G:G)</f>
        <v>0</v>
      </c>
    </row>
    <row r="3" spans="1:9">
      <c r="A3" s="106"/>
      <c r="B3" s="107"/>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上期TB!$B$4:$B$255</xm:f>
          </x14:formula1>
          <xm:sqref>D2:D263</xm:sqref>
        </x14:dataValidation>
      </x14:dataValidations>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codeName="Sheet112">
    <tabColor rgb="FFFFC000"/>
  </sheetPr>
  <dimension ref="A1:C6"/>
  <sheetViews>
    <sheetView workbookViewId="0">
      <selection activeCell="E29" sqref="E29"/>
    </sheetView>
  </sheetViews>
  <sheetFormatPr defaultRowHeight="13.8"/>
  <cols>
    <col min="1" max="1" width="9.5546875" style="18" bestFit="1" customWidth="1"/>
    <col min="2" max="16384" width="8.88671875" style="18"/>
  </cols>
  <sheetData>
    <row r="1" spans="1:3">
      <c r="A1" s="18" t="s">
        <v>28</v>
      </c>
      <c r="B1" s="18" t="s">
        <v>390</v>
      </c>
      <c r="C1" s="18" t="s">
        <v>578</v>
      </c>
    </row>
    <row r="2" spans="1:3">
      <c r="A2" s="137" t="s">
        <v>284</v>
      </c>
      <c r="B2" s="136">
        <f>ROUND(SUMIF(应收利息明细表!D:D,应收利息分类!A2,应收利息明细表!S:S),2)</f>
        <v>0</v>
      </c>
      <c r="C2" s="246"/>
    </row>
    <row r="3" spans="1:3">
      <c r="A3" s="137" t="s">
        <v>285</v>
      </c>
      <c r="B3" s="136">
        <f>ROUND(SUMIF(应收利息明细表!D:D,应收利息分类!A3,应收利息明细表!S:S),2)</f>
        <v>0</v>
      </c>
      <c r="C3" s="246"/>
    </row>
    <row r="4" spans="1:3">
      <c r="A4" s="137" t="s">
        <v>286</v>
      </c>
      <c r="B4" s="136">
        <f>ROUND(SUMIF(应收利息明细表!D:D,应收利息分类!A4,应收利息明细表!S:S),2)</f>
        <v>0</v>
      </c>
      <c r="C4" s="246"/>
    </row>
    <row r="5" spans="1:3">
      <c r="A5" s="137" t="s">
        <v>202</v>
      </c>
      <c r="B5" s="136">
        <f>ROUND(SUMIF(应收利息明细表!D:D,应收利息分类!A5,应收利息明细表!S:S),2)</f>
        <v>0</v>
      </c>
      <c r="C5" s="246"/>
    </row>
    <row r="6" spans="1:3">
      <c r="A6" s="18" t="s">
        <v>204</v>
      </c>
      <c r="B6" s="133">
        <f>ROUND(SUM(B2:B5),2)</f>
        <v>0</v>
      </c>
      <c r="C6" s="18">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A514F2-8932-4B12-AE7E-1248B614EB9A}">
          <x14:formula1>
            <xm:f>分类表!$10:$10</xm:f>
          </x14:formula1>
          <xm:sqref>A2:A5</xm:sqref>
        </x14:dataValidation>
      </x14:dataValidation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codeName="Sheet113">
    <tabColor rgb="FFFFC000"/>
  </sheetPr>
  <dimension ref="A1:E7"/>
  <sheetViews>
    <sheetView workbookViewId="0">
      <selection activeCell="H25" sqref="H25"/>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287</v>
      </c>
      <c r="B1" s="18" t="s">
        <v>245</v>
      </c>
      <c r="C1" s="18" t="s">
        <v>288</v>
      </c>
      <c r="D1" s="18" t="s">
        <v>289</v>
      </c>
      <c r="E1" s="18" t="s">
        <v>290</v>
      </c>
    </row>
    <row r="2" spans="1:5">
      <c r="A2" s="246"/>
      <c r="B2" s="246"/>
      <c r="C2" s="246"/>
      <c r="D2" s="246"/>
      <c r="E2" s="246"/>
    </row>
    <row r="3" spans="1:5">
      <c r="A3" s="246"/>
      <c r="B3" s="246"/>
      <c r="C3" s="246"/>
      <c r="D3" s="246"/>
      <c r="E3" s="246"/>
    </row>
    <row r="4" spans="1:5">
      <c r="A4" s="246"/>
      <c r="B4" s="246"/>
      <c r="C4" s="246"/>
      <c r="D4" s="246"/>
      <c r="E4" s="246"/>
    </row>
    <row r="5" spans="1:5">
      <c r="A5" s="246"/>
      <c r="B5" s="246"/>
      <c r="C5" s="246"/>
      <c r="D5" s="246"/>
      <c r="E5" s="246"/>
    </row>
    <row r="6" spans="1:5">
      <c r="A6" s="246"/>
      <c r="B6" s="246"/>
      <c r="C6" s="246"/>
      <c r="D6" s="246"/>
      <c r="E6" s="246"/>
    </row>
    <row r="7" spans="1:5">
      <c r="A7" s="18" t="s">
        <v>204</v>
      </c>
      <c r="B7" s="18">
        <f>ROUND(SUM(B2:B6),2)</f>
        <v>0</v>
      </c>
      <c r="C7" s="18" t="s">
        <v>247</v>
      </c>
      <c r="D7" s="18" t="s">
        <v>247</v>
      </c>
      <c r="E7" s="18" t="s">
        <v>247</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3D5F-3C50-4084-A3DB-59925C3FE3E3}">
  <sheetPr codeName="Sheet114"/>
  <dimension ref="A1:W102"/>
  <sheetViews>
    <sheetView workbookViewId="0">
      <pane xSplit="1" ySplit="1" topLeftCell="B2" activePane="bottomRight" state="frozen"/>
      <selection pane="topRight" activeCell="B1" sqref="B1"/>
      <selection pane="bottomLeft" activeCell="A2" sqref="A2"/>
      <selection pane="bottomRight" activeCell="H27" sqref="H27"/>
    </sheetView>
  </sheetViews>
  <sheetFormatPr defaultRowHeight="13.8"/>
  <cols>
    <col min="1" max="1" width="13.77734375" customWidth="1"/>
    <col min="2" max="2" width="20.44140625" customWidth="1"/>
    <col min="3" max="3" width="12.44140625" customWidth="1"/>
    <col min="4" max="4" width="16.6640625" customWidth="1"/>
    <col min="12" max="12" width="13.88671875" bestFit="1" customWidth="1"/>
    <col min="23" max="23" width="24.88671875" bestFit="1" customWidth="1"/>
  </cols>
  <sheetData>
    <row r="1" spans="1:23" s="352" customFormat="1" ht="27.6">
      <c r="A1" s="352" t="s">
        <v>1976</v>
      </c>
      <c r="B1" s="352" t="s">
        <v>3391</v>
      </c>
      <c r="C1" s="352" t="s">
        <v>2344</v>
      </c>
      <c r="D1" s="352" t="s">
        <v>3398</v>
      </c>
      <c r="E1" s="352" t="s">
        <v>3719</v>
      </c>
      <c r="F1" s="352" t="s">
        <v>3720</v>
      </c>
      <c r="G1" s="352" t="s">
        <v>3721</v>
      </c>
      <c r="H1" s="352" t="s">
        <v>3722</v>
      </c>
      <c r="I1" s="352" t="s">
        <v>3723</v>
      </c>
      <c r="J1" s="352" t="s">
        <v>3724</v>
      </c>
      <c r="K1" s="352" t="s">
        <v>3725</v>
      </c>
      <c r="L1" s="352" t="s">
        <v>313</v>
      </c>
      <c r="M1" s="352" t="s">
        <v>3726</v>
      </c>
      <c r="N1" s="352" t="s">
        <v>3727</v>
      </c>
      <c r="O1" s="352" t="s">
        <v>3728</v>
      </c>
      <c r="P1" s="352" t="s">
        <v>3729</v>
      </c>
      <c r="Q1" s="352" t="s">
        <v>3730</v>
      </c>
      <c r="R1" s="352" t="s">
        <v>3731</v>
      </c>
      <c r="S1" s="352" t="s">
        <v>3399</v>
      </c>
      <c r="T1" s="352" t="s">
        <v>3395</v>
      </c>
      <c r="U1" s="352" t="s">
        <v>3396</v>
      </c>
      <c r="V1" s="352" t="s">
        <v>289</v>
      </c>
      <c r="W1" s="352" t="s">
        <v>3397</v>
      </c>
    </row>
    <row r="2" spans="1:23">
      <c r="A2" t="str">
        <f>IF(ABS(E2)&gt;0,基础信息!$B$1,"")</f>
        <v/>
      </c>
      <c r="B2" s="255"/>
      <c r="C2" s="276"/>
      <c r="D2" s="276"/>
      <c r="E2" s="229">
        <f>SUM(F2:K2)</f>
        <v>0</v>
      </c>
      <c r="F2" s="255"/>
      <c r="G2" s="255"/>
      <c r="H2" s="255"/>
      <c r="I2" s="255"/>
      <c r="J2" s="255"/>
      <c r="K2" s="255"/>
      <c r="L2" s="229">
        <f>SUM(M2:R2)</f>
        <v>0</v>
      </c>
      <c r="M2" s="255"/>
      <c r="N2" s="255"/>
      <c r="O2" s="255"/>
      <c r="P2" s="255"/>
      <c r="Q2" s="255"/>
      <c r="R2" s="255"/>
      <c r="S2" s="546">
        <f>E2-L2</f>
        <v>0</v>
      </c>
      <c r="T2" s="255"/>
      <c r="U2" s="255"/>
      <c r="V2" s="255"/>
      <c r="W2" s="255"/>
    </row>
    <row r="3" spans="1:23">
      <c r="A3" t="str">
        <f>IF(ABS(E3)&gt;0,基础信息!$B$1,"")</f>
        <v/>
      </c>
      <c r="B3" s="255"/>
      <c r="C3" s="276"/>
      <c r="D3" s="276"/>
      <c r="E3" s="229">
        <f t="shared" ref="E3:E66" si="0">SUM(F3:K3)</f>
        <v>0</v>
      </c>
      <c r="F3" s="255"/>
      <c r="G3" s="255"/>
      <c r="H3" s="255"/>
      <c r="I3" s="255"/>
      <c r="J3" s="255"/>
      <c r="K3" s="255"/>
      <c r="L3" s="229">
        <f t="shared" ref="L3:L66" si="1">SUM(M3:R3)</f>
        <v>0</v>
      </c>
      <c r="M3" s="255"/>
      <c r="N3" s="255"/>
      <c r="O3" s="255"/>
      <c r="P3" s="255"/>
      <c r="Q3" s="255"/>
      <c r="R3" s="255"/>
      <c r="S3" s="546">
        <f t="shared" ref="S3:S66" si="2">E3-L3</f>
        <v>0</v>
      </c>
      <c r="T3" s="255"/>
      <c r="U3" s="255"/>
      <c r="V3" s="255"/>
      <c r="W3" s="255"/>
    </row>
    <row r="4" spans="1:23">
      <c r="A4" t="str">
        <f>IF(ABS(E4)&gt;0,基础信息!$B$1,"")</f>
        <v/>
      </c>
      <c r="B4" s="255"/>
      <c r="C4" s="276"/>
      <c r="D4" s="276"/>
      <c r="E4" s="229">
        <f t="shared" si="0"/>
        <v>0</v>
      </c>
      <c r="F4" s="255"/>
      <c r="G4" s="255"/>
      <c r="H4" s="255"/>
      <c r="I4" s="255"/>
      <c r="J4" s="255"/>
      <c r="K4" s="255"/>
      <c r="L4" s="229">
        <f t="shared" si="1"/>
        <v>0</v>
      </c>
      <c r="M4" s="255"/>
      <c r="N4" s="255"/>
      <c r="O4" s="255"/>
      <c r="P4" s="255"/>
      <c r="Q4" s="255"/>
      <c r="R4" s="255"/>
      <c r="S4" s="546">
        <f t="shared" si="2"/>
        <v>0</v>
      </c>
      <c r="T4" s="255"/>
      <c r="U4" s="255"/>
      <c r="V4" s="255"/>
      <c r="W4" s="255"/>
    </row>
    <row r="5" spans="1:23">
      <c r="A5" t="str">
        <f>IF(ABS(E5)&gt;0,基础信息!$B$1,"")</f>
        <v/>
      </c>
      <c r="B5" s="255"/>
      <c r="C5" s="276"/>
      <c r="D5" s="276"/>
      <c r="E5" s="229">
        <f t="shared" si="0"/>
        <v>0</v>
      </c>
      <c r="F5" s="255"/>
      <c r="G5" s="255"/>
      <c r="H5" s="255"/>
      <c r="I5" s="255"/>
      <c r="J5" s="255"/>
      <c r="K5" s="255"/>
      <c r="L5" s="229">
        <f t="shared" si="1"/>
        <v>0</v>
      </c>
      <c r="M5" s="255"/>
      <c r="N5" s="255"/>
      <c r="O5" s="255"/>
      <c r="P5" s="255"/>
      <c r="Q5" s="255"/>
      <c r="R5" s="255"/>
      <c r="S5" s="546">
        <f t="shared" si="2"/>
        <v>0</v>
      </c>
      <c r="T5" s="255"/>
      <c r="U5" s="255"/>
      <c r="V5" s="255"/>
      <c r="W5" s="255"/>
    </row>
    <row r="6" spans="1:23">
      <c r="A6" t="str">
        <f>IF(ABS(E6)&gt;0,基础信息!$B$1,"")</f>
        <v/>
      </c>
      <c r="B6" s="255"/>
      <c r="C6" s="276"/>
      <c r="D6" s="276"/>
      <c r="E6" s="229">
        <f t="shared" si="0"/>
        <v>0</v>
      </c>
      <c r="F6" s="255"/>
      <c r="G6" s="255"/>
      <c r="H6" s="255"/>
      <c r="I6" s="255"/>
      <c r="J6" s="255"/>
      <c r="K6" s="255"/>
      <c r="L6" s="229">
        <f t="shared" si="1"/>
        <v>0</v>
      </c>
      <c r="M6" s="255"/>
      <c r="N6" s="255"/>
      <c r="O6" s="255"/>
      <c r="P6" s="255"/>
      <c r="Q6" s="255"/>
      <c r="R6" s="255"/>
      <c r="S6" s="546">
        <f t="shared" si="2"/>
        <v>0</v>
      </c>
      <c r="T6" s="255"/>
      <c r="U6" s="255"/>
      <c r="V6" s="255"/>
      <c r="W6" s="255"/>
    </row>
    <row r="7" spans="1:23">
      <c r="A7" t="str">
        <f>IF(ABS(E7)&gt;0,基础信息!$B$1,"")</f>
        <v/>
      </c>
      <c r="B7" s="255"/>
      <c r="C7" s="276"/>
      <c r="D7" s="276"/>
      <c r="E7" s="229">
        <f t="shared" si="0"/>
        <v>0</v>
      </c>
      <c r="F7" s="255"/>
      <c r="G7" s="255"/>
      <c r="H7" s="255"/>
      <c r="I7" s="255"/>
      <c r="J7" s="255"/>
      <c r="K7" s="255"/>
      <c r="L7" s="229">
        <f t="shared" si="1"/>
        <v>0</v>
      </c>
      <c r="M7" s="255"/>
      <c r="N7" s="255"/>
      <c r="O7" s="255"/>
      <c r="P7" s="255"/>
      <c r="Q7" s="255"/>
      <c r="R7" s="255"/>
      <c r="S7" s="546">
        <f t="shared" si="2"/>
        <v>0</v>
      </c>
      <c r="T7" s="255"/>
      <c r="U7" s="255"/>
      <c r="V7" s="255"/>
      <c r="W7" s="255"/>
    </row>
    <row r="8" spans="1:23">
      <c r="A8" t="str">
        <f>IF(ABS(E8)&gt;0,基础信息!$B$1,"")</f>
        <v/>
      </c>
      <c r="B8" s="255"/>
      <c r="C8" s="276"/>
      <c r="D8" s="276"/>
      <c r="E8" s="229">
        <f t="shared" si="0"/>
        <v>0</v>
      </c>
      <c r="F8" s="255"/>
      <c r="G8" s="255"/>
      <c r="H8" s="255"/>
      <c r="I8" s="255"/>
      <c r="J8" s="255"/>
      <c r="K8" s="255"/>
      <c r="L8" s="229">
        <f t="shared" si="1"/>
        <v>0</v>
      </c>
      <c r="M8" s="255"/>
      <c r="N8" s="255"/>
      <c r="O8" s="255"/>
      <c r="P8" s="255"/>
      <c r="Q8" s="255"/>
      <c r="R8" s="255"/>
      <c r="S8" s="546">
        <f t="shared" si="2"/>
        <v>0</v>
      </c>
      <c r="T8" s="255"/>
      <c r="U8" s="255"/>
      <c r="V8" s="255"/>
      <c r="W8" s="255"/>
    </row>
    <row r="9" spans="1:23">
      <c r="A9" t="str">
        <f>IF(ABS(E9)&gt;0,基础信息!$B$1,"")</f>
        <v/>
      </c>
      <c r="B9" s="255"/>
      <c r="C9" s="276"/>
      <c r="D9" s="276"/>
      <c r="E9" s="229">
        <f t="shared" si="0"/>
        <v>0</v>
      </c>
      <c r="F9" s="255"/>
      <c r="G9" s="255"/>
      <c r="H9" s="255"/>
      <c r="I9" s="255"/>
      <c r="J9" s="255"/>
      <c r="K9" s="255"/>
      <c r="L9" s="229">
        <f t="shared" si="1"/>
        <v>0</v>
      </c>
      <c r="M9" s="255"/>
      <c r="N9" s="255"/>
      <c r="O9" s="255"/>
      <c r="P9" s="255"/>
      <c r="Q9" s="255"/>
      <c r="R9" s="255"/>
      <c r="S9" s="546">
        <f t="shared" si="2"/>
        <v>0</v>
      </c>
      <c r="T9" s="255"/>
      <c r="U9" s="255"/>
      <c r="V9" s="255"/>
      <c r="W9" s="255"/>
    </row>
    <row r="10" spans="1:23">
      <c r="A10" t="str">
        <f>IF(ABS(E10)&gt;0,基础信息!$B$1,"")</f>
        <v/>
      </c>
      <c r="B10" s="255"/>
      <c r="C10" s="276"/>
      <c r="D10" s="276"/>
      <c r="E10" s="229">
        <f t="shared" si="0"/>
        <v>0</v>
      </c>
      <c r="F10" s="255"/>
      <c r="G10" s="255"/>
      <c r="H10" s="255"/>
      <c r="I10" s="255"/>
      <c r="J10" s="255"/>
      <c r="K10" s="255"/>
      <c r="L10" s="229">
        <f t="shared" si="1"/>
        <v>0</v>
      </c>
      <c r="M10" s="255"/>
      <c r="N10" s="255"/>
      <c r="O10" s="255"/>
      <c r="P10" s="255"/>
      <c r="Q10" s="255"/>
      <c r="R10" s="255"/>
      <c r="S10" s="546">
        <f t="shared" si="2"/>
        <v>0</v>
      </c>
      <c r="T10" s="255"/>
      <c r="U10" s="255"/>
      <c r="V10" s="255"/>
      <c r="W10" s="255"/>
    </row>
    <row r="11" spans="1:23">
      <c r="A11" t="str">
        <f>IF(ABS(E11)&gt;0,基础信息!$B$1,"")</f>
        <v/>
      </c>
      <c r="B11" s="255"/>
      <c r="C11" s="276"/>
      <c r="D11" s="276"/>
      <c r="E11" s="229">
        <f t="shared" si="0"/>
        <v>0</v>
      </c>
      <c r="F11" s="255"/>
      <c r="G11" s="255"/>
      <c r="H11" s="255"/>
      <c r="I11" s="255"/>
      <c r="J11" s="255"/>
      <c r="K11" s="255"/>
      <c r="L11" s="229">
        <f t="shared" si="1"/>
        <v>0</v>
      </c>
      <c r="M11" s="255"/>
      <c r="N11" s="255"/>
      <c r="O11" s="255"/>
      <c r="P11" s="255"/>
      <c r="Q11" s="255"/>
      <c r="R11" s="255"/>
      <c r="S11" s="546">
        <f t="shared" si="2"/>
        <v>0</v>
      </c>
      <c r="T11" s="255"/>
      <c r="U11" s="255"/>
      <c r="V11" s="255"/>
      <c r="W11" s="255"/>
    </row>
    <row r="12" spans="1:23">
      <c r="A12" t="str">
        <f>IF(ABS(E12)&gt;0,基础信息!$B$1,"")</f>
        <v/>
      </c>
      <c r="B12" s="255"/>
      <c r="C12" s="276"/>
      <c r="D12" s="276"/>
      <c r="E12" s="229">
        <f t="shared" si="0"/>
        <v>0</v>
      </c>
      <c r="F12" s="255"/>
      <c r="G12" s="255"/>
      <c r="H12" s="255"/>
      <c r="I12" s="255"/>
      <c r="J12" s="255"/>
      <c r="K12" s="255"/>
      <c r="L12" s="229">
        <f t="shared" si="1"/>
        <v>0</v>
      </c>
      <c r="M12" s="255"/>
      <c r="N12" s="255"/>
      <c r="O12" s="255"/>
      <c r="P12" s="255"/>
      <c r="Q12" s="255"/>
      <c r="R12" s="255"/>
      <c r="S12" s="546">
        <f t="shared" si="2"/>
        <v>0</v>
      </c>
      <c r="T12" s="255"/>
      <c r="U12" s="255"/>
      <c r="V12" s="255"/>
      <c r="W12" s="255"/>
    </row>
    <row r="13" spans="1:23">
      <c r="A13" t="str">
        <f>IF(ABS(E13)&gt;0,基础信息!$B$1,"")</f>
        <v/>
      </c>
      <c r="B13" s="255"/>
      <c r="C13" s="276"/>
      <c r="D13" s="276"/>
      <c r="E13" s="229">
        <f t="shared" si="0"/>
        <v>0</v>
      </c>
      <c r="F13" s="255"/>
      <c r="G13" s="255"/>
      <c r="H13" s="255"/>
      <c r="I13" s="255"/>
      <c r="J13" s="255"/>
      <c r="K13" s="255"/>
      <c r="L13" s="229">
        <f t="shared" si="1"/>
        <v>0</v>
      </c>
      <c r="M13" s="255"/>
      <c r="N13" s="255"/>
      <c r="O13" s="255"/>
      <c r="P13" s="255"/>
      <c r="Q13" s="255"/>
      <c r="R13" s="255"/>
      <c r="S13" s="546">
        <f t="shared" si="2"/>
        <v>0</v>
      </c>
      <c r="T13" s="255"/>
      <c r="U13" s="255"/>
      <c r="V13" s="255"/>
      <c r="W13" s="255"/>
    </row>
    <row r="14" spans="1:23">
      <c r="A14" t="str">
        <f>IF(ABS(E14)&gt;0,基础信息!$B$1,"")</f>
        <v/>
      </c>
      <c r="B14" s="255"/>
      <c r="C14" s="276"/>
      <c r="D14" s="276"/>
      <c r="E14" s="229">
        <f t="shared" si="0"/>
        <v>0</v>
      </c>
      <c r="F14" s="255"/>
      <c r="G14" s="255"/>
      <c r="H14" s="255"/>
      <c r="I14" s="255"/>
      <c r="J14" s="255"/>
      <c r="K14" s="255"/>
      <c r="L14" s="229">
        <f t="shared" si="1"/>
        <v>0</v>
      </c>
      <c r="M14" s="255"/>
      <c r="N14" s="255"/>
      <c r="O14" s="255"/>
      <c r="P14" s="255"/>
      <c r="Q14" s="255"/>
      <c r="R14" s="255"/>
      <c r="S14" s="546">
        <f t="shared" si="2"/>
        <v>0</v>
      </c>
      <c r="T14" s="255"/>
      <c r="U14" s="255"/>
      <c r="V14" s="255"/>
      <c r="W14" s="255"/>
    </row>
    <row r="15" spans="1:23">
      <c r="A15" t="str">
        <f>IF(ABS(E15)&gt;0,基础信息!$B$1,"")</f>
        <v/>
      </c>
      <c r="B15" s="255"/>
      <c r="C15" s="276"/>
      <c r="D15" s="276"/>
      <c r="E15" s="229">
        <f t="shared" si="0"/>
        <v>0</v>
      </c>
      <c r="F15" s="255"/>
      <c r="G15" s="255"/>
      <c r="H15" s="255"/>
      <c r="I15" s="255"/>
      <c r="J15" s="255"/>
      <c r="K15" s="255"/>
      <c r="L15" s="229">
        <f t="shared" si="1"/>
        <v>0</v>
      </c>
      <c r="M15" s="255"/>
      <c r="N15" s="255"/>
      <c r="O15" s="255"/>
      <c r="P15" s="255"/>
      <c r="Q15" s="255"/>
      <c r="R15" s="255"/>
      <c r="S15" s="546">
        <f t="shared" si="2"/>
        <v>0</v>
      </c>
      <c r="T15" s="255"/>
      <c r="U15" s="255"/>
      <c r="V15" s="255"/>
      <c r="W15" s="255"/>
    </row>
    <row r="16" spans="1:23">
      <c r="A16" t="str">
        <f>IF(ABS(E16)&gt;0,基础信息!$B$1,"")</f>
        <v/>
      </c>
      <c r="B16" s="255"/>
      <c r="C16" s="276"/>
      <c r="D16" s="276"/>
      <c r="E16" s="229">
        <f t="shared" si="0"/>
        <v>0</v>
      </c>
      <c r="F16" s="255"/>
      <c r="G16" s="255"/>
      <c r="H16" s="255"/>
      <c r="I16" s="255"/>
      <c r="J16" s="255"/>
      <c r="K16" s="255"/>
      <c r="L16" s="229">
        <f t="shared" si="1"/>
        <v>0</v>
      </c>
      <c r="M16" s="255"/>
      <c r="N16" s="255"/>
      <c r="O16" s="255"/>
      <c r="P16" s="255"/>
      <c r="Q16" s="255"/>
      <c r="R16" s="255"/>
      <c r="S16" s="546">
        <f t="shared" si="2"/>
        <v>0</v>
      </c>
      <c r="T16" s="255"/>
      <c r="U16" s="255"/>
      <c r="V16" s="255"/>
      <c r="W16" s="255"/>
    </row>
    <row r="17" spans="1:23">
      <c r="A17" t="str">
        <f>IF(ABS(E17)&gt;0,基础信息!$B$1,"")</f>
        <v/>
      </c>
      <c r="B17" s="255"/>
      <c r="C17" s="276"/>
      <c r="D17" s="276"/>
      <c r="E17" s="229">
        <f t="shared" si="0"/>
        <v>0</v>
      </c>
      <c r="F17" s="255"/>
      <c r="G17" s="255"/>
      <c r="H17" s="255"/>
      <c r="I17" s="255"/>
      <c r="J17" s="255"/>
      <c r="K17" s="255"/>
      <c r="L17" s="229">
        <f t="shared" si="1"/>
        <v>0</v>
      </c>
      <c r="M17" s="255"/>
      <c r="N17" s="255"/>
      <c r="O17" s="255"/>
      <c r="P17" s="255"/>
      <c r="Q17" s="255"/>
      <c r="R17" s="255"/>
      <c r="S17" s="546">
        <f t="shared" si="2"/>
        <v>0</v>
      </c>
      <c r="T17" s="255"/>
      <c r="U17" s="255"/>
      <c r="V17" s="255"/>
      <c r="W17" s="255"/>
    </row>
    <row r="18" spans="1:23">
      <c r="A18" t="str">
        <f>IF(ABS(E18)&gt;0,基础信息!$B$1,"")</f>
        <v/>
      </c>
      <c r="B18" s="255"/>
      <c r="C18" s="276"/>
      <c r="D18" s="276"/>
      <c r="E18" s="229">
        <f t="shared" si="0"/>
        <v>0</v>
      </c>
      <c r="F18" s="255"/>
      <c r="G18" s="255"/>
      <c r="H18" s="255"/>
      <c r="I18" s="255"/>
      <c r="J18" s="255"/>
      <c r="K18" s="255"/>
      <c r="L18" s="229">
        <f t="shared" si="1"/>
        <v>0</v>
      </c>
      <c r="M18" s="255"/>
      <c r="N18" s="255"/>
      <c r="O18" s="255"/>
      <c r="P18" s="255"/>
      <c r="Q18" s="255"/>
      <c r="R18" s="255"/>
      <c r="S18" s="546">
        <f t="shared" si="2"/>
        <v>0</v>
      </c>
      <c r="T18" s="255"/>
      <c r="U18" s="255"/>
      <c r="V18" s="255"/>
      <c r="W18" s="255"/>
    </row>
    <row r="19" spans="1:23">
      <c r="A19" t="str">
        <f>IF(ABS(E19)&gt;0,基础信息!$B$1,"")</f>
        <v/>
      </c>
      <c r="B19" s="255"/>
      <c r="C19" s="276"/>
      <c r="D19" s="276"/>
      <c r="E19" s="229">
        <f t="shared" si="0"/>
        <v>0</v>
      </c>
      <c r="F19" s="255"/>
      <c r="G19" s="255"/>
      <c r="H19" s="255"/>
      <c r="I19" s="255"/>
      <c r="J19" s="255"/>
      <c r="K19" s="255"/>
      <c r="L19" s="229">
        <f t="shared" si="1"/>
        <v>0</v>
      </c>
      <c r="M19" s="255"/>
      <c r="N19" s="255"/>
      <c r="O19" s="255"/>
      <c r="P19" s="255"/>
      <c r="Q19" s="255"/>
      <c r="R19" s="255"/>
      <c r="S19" s="546">
        <f t="shared" si="2"/>
        <v>0</v>
      </c>
      <c r="T19" s="255"/>
      <c r="U19" s="255"/>
      <c r="V19" s="255"/>
      <c r="W19" s="255"/>
    </row>
    <row r="20" spans="1:23">
      <c r="A20" t="str">
        <f>IF(ABS(E20)&gt;0,基础信息!$B$1,"")</f>
        <v/>
      </c>
      <c r="B20" s="255"/>
      <c r="C20" s="276"/>
      <c r="D20" s="276"/>
      <c r="E20" s="229">
        <f t="shared" si="0"/>
        <v>0</v>
      </c>
      <c r="F20" s="255"/>
      <c r="G20" s="255"/>
      <c r="H20" s="255"/>
      <c r="I20" s="255"/>
      <c r="J20" s="255"/>
      <c r="K20" s="255"/>
      <c r="L20" s="229">
        <f t="shared" si="1"/>
        <v>0</v>
      </c>
      <c r="M20" s="255"/>
      <c r="N20" s="255"/>
      <c r="O20" s="255"/>
      <c r="P20" s="255"/>
      <c r="Q20" s="255"/>
      <c r="R20" s="255"/>
      <c r="S20" s="546">
        <f t="shared" si="2"/>
        <v>0</v>
      </c>
      <c r="T20" s="255"/>
      <c r="U20" s="255"/>
      <c r="V20" s="255"/>
      <c r="W20" s="255"/>
    </row>
    <row r="21" spans="1:23">
      <c r="A21" t="str">
        <f>IF(ABS(E21)&gt;0,基础信息!$B$1,"")</f>
        <v/>
      </c>
      <c r="B21" s="255"/>
      <c r="C21" s="276"/>
      <c r="D21" s="276"/>
      <c r="E21" s="229">
        <f t="shared" si="0"/>
        <v>0</v>
      </c>
      <c r="F21" s="255"/>
      <c r="G21" s="255"/>
      <c r="H21" s="255"/>
      <c r="I21" s="255"/>
      <c r="J21" s="255"/>
      <c r="K21" s="255"/>
      <c r="L21" s="229">
        <f t="shared" si="1"/>
        <v>0</v>
      </c>
      <c r="M21" s="255"/>
      <c r="N21" s="255"/>
      <c r="O21" s="255"/>
      <c r="P21" s="255"/>
      <c r="Q21" s="255"/>
      <c r="R21" s="255"/>
      <c r="S21" s="546">
        <f t="shared" si="2"/>
        <v>0</v>
      </c>
      <c r="T21" s="255"/>
      <c r="U21" s="255"/>
      <c r="V21" s="255"/>
      <c r="W21" s="255"/>
    </row>
    <row r="22" spans="1:23">
      <c r="A22" t="str">
        <f>IF(ABS(E22)&gt;0,基础信息!$B$1,"")</f>
        <v/>
      </c>
      <c r="B22" s="255"/>
      <c r="C22" s="276"/>
      <c r="D22" s="276"/>
      <c r="E22" s="229">
        <f t="shared" si="0"/>
        <v>0</v>
      </c>
      <c r="F22" s="255"/>
      <c r="G22" s="255"/>
      <c r="H22" s="255"/>
      <c r="I22" s="255"/>
      <c r="J22" s="255"/>
      <c r="K22" s="255"/>
      <c r="L22" s="229">
        <f t="shared" si="1"/>
        <v>0</v>
      </c>
      <c r="M22" s="255"/>
      <c r="N22" s="255"/>
      <c r="O22" s="255"/>
      <c r="P22" s="255"/>
      <c r="Q22" s="255"/>
      <c r="R22" s="255"/>
      <c r="S22" s="546">
        <f t="shared" si="2"/>
        <v>0</v>
      </c>
      <c r="T22" s="255"/>
      <c r="U22" s="255"/>
      <c r="V22" s="255"/>
      <c r="W22" s="255"/>
    </row>
    <row r="23" spans="1:23">
      <c r="A23" t="str">
        <f>IF(ABS(E23)&gt;0,基础信息!$B$1,"")</f>
        <v/>
      </c>
      <c r="B23" s="255"/>
      <c r="C23" s="276"/>
      <c r="D23" s="276"/>
      <c r="E23" s="229">
        <f t="shared" si="0"/>
        <v>0</v>
      </c>
      <c r="F23" s="255"/>
      <c r="G23" s="255"/>
      <c r="H23" s="255"/>
      <c r="I23" s="255"/>
      <c r="J23" s="255"/>
      <c r="K23" s="255"/>
      <c r="L23" s="229">
        <f t="shared" si="1"/>
        <v>0</v>
      </c>
      <c r="M23" s="255"/>
      <c r="N23" s="255"/>
      <c r="O23" s="255"/>
      <c r="P23" s="255"/>
      <c r="Q23" s="255"/>
      <c r="R23" s="255"/>
      <c r="S23" s="546">
        <f t="shared" si="2"/>
        <v>0</v>
      </c>
      <c r="T23" s="255"/>
      <c r="U23" s="255"/>
      <c r="V23" s="255"/>
      <c r="W23" s="255"/>
    </row>
    <row r="24" spans="1:23">
      <c r="A24" t="str">
        <f>IF(ABS(E24)&gt;0,基础信息!$B$1,"")</f>
        <v/>
      </c>
      <c r="B24" s="255"/>
      <c r="C24" s="276"/>
      <c r="D24" s="276"/>
      <c r="E24" s="229">
        <f t="shared" si="0"/>
        <v>0</v>
      </c>
      <c r="F24" s="255"/>
      <c r="G24" s="255"/>
      <c r="H24" s="255"/>
      <c r="I24" s="255"/>
      <c r="J24" s="255"/>
      <c r="K24" s="255"/>
      <c r="L24" s="229">
        <f t="shared" si="1"/>
        <v>0</v>
      </c>
      <c r="M24" s="255"/>
      <c r="N24" s="255"/>
      <c r="O24" s="255"/>
      <c r="P24" s="255"/>
      <c r="Q24" s="255"/>
      <c r="R24" s="255"/>
      <c r="S24" s="546">
        <f t="shared" si="2"/>
        <v>0</v>
      </c>
      <c r="T24" s="255"/>
      <c r="U24" s="255"/>
      <c r="V24" s="255"/>
      <c r="W24" s="255"/>
    </row>
    <row r="25" spans="1:23">
      <c r="A25" t="str">
        <f>IF(ABS(E25)&gt;0,基础信息!$B$1,"")</f>
        <v/>
      </c>
      <c r="B25" s="255"/>
      <c r="C25" s="276"/>
      <c r="D25" s="276"/>
      <c r="E25" s="229">
        <f t="shared" si="0"/>
        <v>0</v>
      </c>
      <c r="F25" s="255"/>
      <c r="G25" s="255"/>
      <c r="H25" s="255"/>
      <c r="I25" s="255"/>
      <c r="J25" s="255"/>
      <c r="K25" s="255"/>
      <c r="L25" s="229">
        <f t="shared" si="1"/>
        <v>0</v>
      </c>
      <c r="M25" s="255"/>
      <c r="N25" s="255"/>
      <c r="O25" s="255"/>
      <c r="P25" s="255"/>
      <c r="Q25" s="255"/>
      <c r="R25" s="255"/>
      <c r="S25" s="546">
        <f t="shared" si="2"/>
        <v>0</v>
      </c>
      <c r="T25" s="255"/>
      <c r="U25" s="255"/>
      <c r="V25" s="255"/>
      <c r="W25" s="255"/>
    </row>
    <row r="26" spans="1:23">
      <c r="A26" t="str">
        <f>IF(ABS(E26)&gt;0,基础信息!$B$1,"")</f>
        <v/>
      </c>
      <c r="B26" s="255"/>
      <c r="C26" s="276"/>
      <c r="D26" s="276"/>
      <c r="E26" s="229">
        <f t="shared" si="0"/>
        <v>0</v>
      </c>
      <c r="F26" s="255"/>
      <c r="G26" s="255"/>
      <c r="H26" s="255"/>
      <c r="I26" s="255"/>
      <c r="J26" s="255"/>
      <c r="K26" s="255"/>
      <c r="L26" s="229">
        <f t="shared" si="1"/>
        <v>0</v>
      </c>
      <c r="M26" s="255"/>
      <c r="N26" s="255"/>
      <c r="O26" s="255"/>
      <c r="P26" s="255"/>
      <c r="Q26" s="255"/>
      <c r="R26" s="255"/>
      <c r="S26" s="546">
        <f t="shared" si="2"/>
        <v>0</v>
      </c>
      <c r="T26" s="255"/>
      <c r="U26" s="255"/>
      <c r="V26" s="255"/>
      <c r="W26" s="255"/>
    </row>
    <row r="27" spans="1:23">
      <c r="A27" t="str">
        <f>IF(ABS(E27)&gt;0,基础信息!$B$1,"")</f>
        <v/>
      </c>
      <c r="B27" s="255"/>
      <c r="C27" s="276"/>
      <c r="D27" s="276"/>
      <c r="E27" s="229">
        <f t="shared" si="0"/>
        <v>0</v>
      </c>
      <c r="F27" s="255"/>
      <c r="G27" s="255"/>
      <c r="H27" s="255"/>
      <c r="I27" s="255"/>
      <c r="J27" s="255"/>
      <c r="K27" s="255"/>
      <c r="L27" s="229">
        <f t="shared" si="1"/>
        <v>0</v>
      </c>
      <c r="M27" s="255"/>
      <c r="N27" s="255"/>
      <c r="O27" s="255"/>
      <c r="P27" s="255"/>
      <c r="Q27" s="255"/>
      <c r="R27" s="255"/>
      <c r="S27" s="546">
        <f t="shared" si="2"/>
        <v>0</v>
      </c>
      <c r="T27" s="255"/>
      <c r="U27" s="255"/>
      <c r="V27" s="255"/>
      <c r="W27" s="255"/>
    </row>
    <row r="28" spans="1:23">
      <c r="A28" t="str">
        <f>IF(ABS(E28)&gt;0,基础信息!$B$1,"")</f>
        <v/>
      </c>
      <c r="B28" s="255"/>
      <c r="C28" s="276"/>
      <c r="D28" s="276"/>
      <c r="E28" s="229">
        <f t="shared" si="0"/>
        <v>0</v>
      </c>
      <c r="F28" s="255"/>
      <c r="G28" s="255"/>
      <c r="H28" s="255"/>
      <c r="I28" s="255"/>
      <c r="J28" s="255"/>
      <c r="K28" s="255"/>
      <c r="L28" s="229">
        <f t="shared" si="1"/>
        <v>0</v>
      </c>
      <c r="M28" s="255"/>
      <c r="N28" s="255"/>
      <c r="O28" s="255"/>
      <c r="P28" s="255"/>
      <c r="Q28" s="255"/>
      <c r="R28" s="255"/>
      <c r="S28" s="546">
        <f t="shared" si="2"/>
        <v>0</v>
      </c>
      <c r="T28" s="255"/>
      <c r="U28" s="255"/>
      <c r="V28" s="255"/>
      <c r="W28" s="255"/>
    </row>
    <row r="29" spans="1:23">
      <c r="A29" t="str">
        <f>IF(ABS(E29)&gt;0,基础信息!$B$1,"")</f>
        <v/>
      </c>
      <c r="B29" s="255"/>
      <c r="C29" s="276"/>
      <c r="D29" s="276"/>
      <c r="E29" s="229">
        <f t="shared" si="0"/>
        <v>0</v>
      </c>
      <c r="F29" s="255"/>
      <c r="G29" s="255"/>
      <c r="H29" s="255"/>
      <c r="I29" s="255"/>
      <c r="J29" s="255"/>
      <c r="K29" s="255"/>
      <c r="L29" s="229">
        <f t="shared" si="1"/>
        <v>0</v>
      </c>
      <c r="M29" s="255"/>
      <c r="N29" s="255"/>
      <c r="O29" s="255"/>
      <c r="P29" s="255"/>
      <c r="Q29" s="255"/>
      <c r="R29" s="255"/>
      <c r="S29" s="546">
        <f t="shared" si="2"/>
        <v>0</v>
      </c>
      <c r="T29" s="255"/>
      <c r="U29" s="255"/>
      <c r="V29" s="255"/>
      <c r="W29" s="255"/>
    </row>
    <row r="30" spans="1:23">
      <c r="A30" t="str">
        <f>IF(ABS(E30)&gt;0,基础信息!$B$1,"")</f>
        <v/>
      </c>
      <c r="B30" s="255"/>
      <c r="C30" s="276"/>
      <c r="D30" s="276"/>
      <c r="E30" s="229">
        <f t="shared" si="0"/>
        <v>0</v>
      </c>
      <c r="F30" s="255"/>
      <c r="G30" s="255"/>
      <c r="H30" s="255"/>
      <c r="I30" s="255"/>
      <c r="J30" s="255"/>
      <c r="K30" s="255"/>
      <c r="L30" s="229">
        <f t="shared" si="1"/>
        <v>0</v>
      </c>
      <c r="M30" s="255"/>
      <c r="N30" s="255"/>
      <c r="O30" s="255"/>
      <c r="P30" s="255"/>
      <c r="Q30" s="255"/>
      <c r="R30" s="255"/>
      <c r="S30" s="546">
        <f t="shared" si="2"/>
        <v>0</v>
      </c>
      <c r="T30" s="255"/>
      <c r="U30" s="255"/>
      <c r="V30" s="255"/>
      <c r="W30" s="255"/>
    </row>
    <row r="31" spans="1:23">
      <c r="A31" t="str">
        <f>IF(ABS(E31)&gt;0,基础信息!$B$1,"")</f>
        <v/>
      </c>
      <c r="B31" s="255"/>
      <c r="C31" s="276"/>
      <c r="D31" s="276"/>
      <c r="E31" s="229">
        <f t="shared" si="0"/>
        <v>0</v>
      </c>
      <c r="F31" s="255"/>
      <c r="G31" s="255"/>
      <c r="H31" s="255"/>
      <c r="I31" s="255"/>
      <c r="J31" s="255"/>
      <c r="K31" s="255"/>
      <c r="L31" s="229">
        <f t="shared" si="1"/>
        <v>0</v>
      </c>
      <c r="M31" s="255"/>
      <c r="N31" s="255"/>
      <c r="O31" s="255"/>
      <c r="P31" s="255"/>
      <c r="Q31" s="255"/>
      <c r="R31" s="255"/>
      <c r="S31" s="546">
        <f t="shared" si="2"/>
        <v>0</v>
      </c>
      <c r="T31" s="255"/>
      <c r="U31" s="255"/>
      <c r="V31" s="255"/>
      <c r="W31" s="255"/>
    </row>
    <row r="32" spans="1:23">
      <c r="A32" t="str">
        <f>IF(ABS(E32)&gt;0,基础信息!$B$1,"")</f>
        <v/>
      </c>
      <c r="B32" s="255"/>
      <c r="C32" s="276"/>
      <c r="D32" s="276"/>
      <c r="E32" s="229">
        <f t="shared" si="0"/>
        <v>0</v>
      </c>
      <c r="F32" s="255"/>
      <c r="G32" s="255"/>
      <c r="H32" s="255"/>
      <c r="I32" s="255"/>
      <c r="J32" s="255"/>
      <c r="K32" s="255"/>
      <c r="L32" s="229">
        <f t="shared" si="1"/>
        <v>0</v>
      </c>
      <c r="M32" s="255"/>
      <c r="N32" s="255"/>
      <c r="O32" s="255"/>
      <c r="P32" s="255"/>
      <c r="Q32" s="255"/>
      <c r="R32" s="255"/>
      <c r="S32" s="546">
        <f t="shared" si="2"/>
        <v>0</v>
      </c>
      <c r="T32" s="255"/>
      <c r="U32" s="255"/>
      <c r="V32" s="255"/>
      <c r="W32" s="255"/>
    </row>
    <row r="33" spans="1:23">
      <c r="A33" t="str">
        <f>IF(ABS(E33)&gt;0,基础信息!$B$1,"")</f>
        <v/>
      </c>
      <c r="B33" s="255"/>
      <c r="C33" s="276"/>
      <c r="D33" s="276"/>
      <c r="E33" s="229">
        <f t="shared" si="0"/>
        <v>0</v>
      </c>
      <c r="F33" s="255"/>
      <c r="G33" s="255"/>
      <c r="H33" s="255"/>
      <c r="I33" s="255"/>
      <c r="J33" s="255"/>
      <c r="K33" s="255"/>
      <c r="L33" s="229">
        <f t="shared" si="1"/>
        <v>0</v>
      </c>
      <c r="M33" s="255"/>
      <c r="N33" s="255"/>
      <c r="O33" s="255"/>
      <c r="P33" s="255"/>
      <c r="Q33" s="255"/>
      <c r="R33" s="255"/>
      <c r="S33" s="546">
        <f t="shared" si="2"/>
        <v>0</v>
      </c>
      <c r="T33" s="255"/>
      <c r="U33" s="255"/>
      <c r="V33" s="255"/>
      <c r="W33" s="255"/>
    </row>
    <row r="34" spans="1:23">
      <c r="A34" t="str">
        <f>IF(ABS(E34)&gt;0,基础信息!$B$1,"")</f>
        <v/>
      </c>
      <c r="B34" s="255"/>
      <c r="C34" s="276"/>
      <c r="D34" s="276"/>
      <c r="E34" s="229">
        <f t="shared" si="0"/>
        <v>0</v>
      </c>
      <c r="F34" s="255"/>
      <c r="G34" s="255"/>
      <c r="H34" s="255"/>
      <c r="I34" s="255"/>
      <c r="J34" s="255"/>
      <c r="K34" s="255"/>
      <c r="L34" s="229">
        <f t="shared" si="1"/>
        <v>0</v>
      </c>
      <c r="M34" s="255"/>
      <c r="N34" s="255"/>
      <c r="O34" s="255"/>
      <c r="P34" s="255"/>
      <c r="Q34" s="255"/>
      <c r="R34" s="255"/>
      <c r="S34" s="546">
        <f t="shared" si="2"/>
        <v>0</v>
      </c>
      <c r="T34" s="255"/>
      <c r="U34" s="255"/>
      <c r="V34" s="255"/>
      <c r="W34" s="255"/>
    </row>
    <row r="35" spans="1:23">
      <c r="A35" t="str">
        <f>IF(ABS(E35)&gt;0,基础信息!$B$1,"")</f>
        <v/>
      </c>
      <c r="B35" s="255"/>
      <c r="C35" s="276"/>
      <c r="D35" s="276"/>
      <c r="E35" s="229">
        <f t="shared" si="0"/>
        <v>0</v>
      </c>
      <c r="F35" s="255"/>
      <c r="G35" s="255"/>
      <c r="H35" s="255"/>
      <c r="I35" s="255"/>
      <c r="J35" s="255"/>
      <c r="K35" s="255"/>
      <c r="L35" s="229">
        <f t="shared" si="1"/>
        <v>0</v>
      </c>
      <c r="M35" s="255"/>
      <c r="N35" s="255"/>
      <c r="O35" s="255"/>
      <c r="P35" s="255"/>
      <c r="Q35" s="255"/>
      <c r="R35" s="255"/>
      <c r="S35" s="546">
        <f t="shared" si="2"/>
        <v>0</v>
      </c>
      <c r="T35" s="255"/>
      <c r="U35" s="255"/>
      <c r="V35" s="255"/>
      <c r="W35" s="255"/>
    </row>
    <row r="36" spans="1:23">
      <c r="A36" t="str">
        <f>IF(ABS(E36)&gt;0,基础信息!$B$1,"")</f>
        <v/>
      </c>
      <c r="B36" s="255"/>
      <c r="C36" s="276"/>
      <c r="D36" s="276"/>
      <c r="E36" s="229">
        <f t="shared" si="0"/>
        <v>0</v>
      </c>
      <c r="F36" s="255"/>
      <c r="G36" s="255"/>
      <c r="H36" s="255"/>
      <c r="I36" s="255"/>
      <c r="J36" s="255"/>
      <c r="K36" s="255"/>
      <c r="L36" s="229">
        <f t="shared" si="1"/>
        <v>0</v>
      </c>
      <c r="M36" s="255"/>
      <c r="N36" s="255"/>
      <c r="O36" s="255"/>
      <c r="P36" s="255"/>
      <c r="Q36" s="255"/>
      <c r="R36" s="255"/>
      <c r="S36" s="546">
        <f t="shared" si="2"/>
        <v>0</v>
      </c>
      <c r="T36" s="255"/>
      <c r="U36" s="255"/>
      <c r="V36" s="255"/>
      <c r="W36" s="255"/>
    </row>
    <row r="37" spans="1:23">
      <c r="A37" t="str">
        <f>IF(ABS(E37)&gt;0,基础信息!$B$1,"")</f>
        <v/>
      </c>
      <c r="B37" s="255"/>
      <c r="C37" s="276"/>
      <c r="D37" s="276"/>
      <c r="E37" s="229">
        <f t="shared" si="0"/>
        <v>0</v>
      </c>
      <c r="F37" s="255"/>
      <c r="G37" s="255"/>
      <c r="H37" s="255"/>
      <c r="I37" s="255"/>
      <c r="J37" s="255"/>
      <c r="K37" s="255"/>
      <c r="L37" s="229">
        <f t="shared" si="1"/>
        <v>0</v>
      </c>
      <c r="M37" s="255"/>
      <c r="N37" s="255"/>
      <c r="O37" s="255"/>
      <c r="P37" s="255"/>
      <c r="Q37" s="255"/>
      <c r="R37" s="255"/>
      <c r="S37" s="546">
        <f t="shared" si="2"/>
        <v>0</v>
      </c>
      <c r="T37" s="255"/>
      <c r="U37" s="255"/>
      <c r="V37" s="255"/>
      <c r="W37" s="255"/>
    </row>
    <row r="38" spans="1:23">
      <c r="A38" t="str">
        <f>IF(ABS(E38)&gt;0,基础信息!$B$1,"")</f>
        <v/>
      </c>
      <c r="B38" s="255"/>
      <c r="C38" s="276"/>
      <c r="D38" s="276"/>
      <c r="E38" s="229">
        <f t="shared" si="0"/>
        <v>0</v>
      </c>
      <c r="F38" s="255"/>
      <c r="G38" s="255"/>
      <c r="H38" s="255"/>
      <c r="I38" s="255"/>
      <c r="J38" s="255"/>
      <c r="K38" s="255"/>
      <c r="L38" s="229">
        <f t="shared" si="1"/>
        <v>0</v>
      </c>
      <c r="M38" s="255"/>
      <c r="N38" s="255"/>
      <c r="O38" s="255"/>
      <c r="P38" s="255"/>
      <c r="Q38" s="255"/>
      <c r="R38" s="255"/>
      <c r="S38" s="546">
        <f t="shared" si="2"/>
        <v>0</v>
      </c>
      <c r="T38" s="255"/>
      <c r="U38" s="255"/>
      <c r="V38" s="255"/>
      <c r="W38" s="255"/>
    </row>
    <row r="39" spans="1:23">
      <c r="A39" t="str">
        <f>IF(ABS(E39)&gt;0,基础信息!$B$1,"")</f>
        <v/>
      </c>
      <c r="B39" s="255"/>
      <c r="C39" s="276"/>
      <c r="D39" s="276"/>
      <c r="E39" s="229">
        <f t="shared" si="0"/>
        <v>0</v>
      </c>
      <c r="F39" s="255"/>
      <c r="G39" s="255"/>
      <c r="H39" s="255"/>
      <c r="I39" s="255"/>
      <c r="J39" s="255"/>
      <c r="K39" s="255"/>
      <c r="L39" s="229">
        <f t="shared" si="1"/>
        <v>0</v>
      </c>
      <c r="M39" s="255"/>
      <c r="N39" s="255"/>
      <c r="O39" s="255"/>
      <c r="P39" s="255"/>
      <c r="Q39" s="255"/>
      <c r="R39" s="255"/>
      <c r="S39" s="546">
        <f t="shared" si="2"/>
        <v>0</v>
      </c>
      <c r="T39" s="255"/>
      <c r="U39" s="255"/>
      <c r="V39" s="255"/>
      <c r="W39" s="255"/>
    </row>
    <row r="40" spans="1:23">
      <c r="A40" t="str">
        <f>IF(ABS(E40)&gt;0,基础信息!$B$1,"")</f>
        <v/>
      </c>
      <c r="B40" s="255"/>
      <c r="C40" s="276"/>
      <c r="D40" s="276"/>
      <c r="E40" s="229">
        <f t="shared" si="0"/>
        <v>0</v>
      </c>
      <c r="F40" s="255"/>
      <c r="G40" s="255"/>
      <c r="H40" s="255"/>
      <c r="I40" s="255"/>
      <c r="J40" s="255"/>
      <c r="K40" s="255"/>
      <c r="L40" s="229">
        <f t="shared" si="1"/>
        <v>0</v>
      </c>
      <c r="M40" s="255"/>
      <c r="N40" s="255"/>
      <c r="O40" s="255"/>
      <c r="P40" s="255"/>
      <c r="Q40" s="255"/>
      <c r="R40" s="255"/>
      <c r="S40" s="546">
        <f t="shared" si="2"/>
        <v>0</v>
      </c>
      <c r="T40" s="255"/>
      <c r="U40" s="255"/>
      <c r="V40" s="255"/>
      <c r="W40" s="255"/>
    </row>
    <row r="41" spans="1:23">
      <c r="A41" t="str">
        <f>IF(ABS(E41)&gt;0,基础信息!$B$1,"")</f>
        <v/>
      </c>
      <c r="B41" s="255"/>
      <c r="C41" s="276"/>
      <c r="D41" s="276"/>
      <c r="E41" s="229">
        <f t="shared" si="0"/>
        <v>0</v>
      </c>
      <c r="F41" s="255"/>
      <c r="G41" s="255"/>
      <c r="H41" s="255"/>
      <c r="I41" s="255"/>
      <c r="J41" s="255"/>
      <c r="K41" s="255"/>
      <c r="L41" s="229">
        <f t="shared" si="1"/>
        <v>0</v>
      </c>
      <c r="M41" s="255"/>
      <c r="N41" s="255"/>
      <c r="O41" s="255"/>
      <c r="P41" s="255"/>
      <c r="Q41" s="255"/>
      <c r="R41" s="255"/>
      <c r="S41" s="546">
        <f t="shared" si="2"/>
        <v>0</v>
      </c>
      <c r="T41" s="255"/>
      <c r="U41" s="255"/>
      <c r="V41" s="255"/>
      <c r="W41" s="255"/>
    </row>
    <row r="42" spans="1:23">
      <c r="A42" t="str">
        <f>IF(ABS(E42)&gt;0,基础信息!$B$1,"")</f>
        <v/>
      </c>
      <c r="B42" s="255"/>
      <c r="C42" s="276"/>
      <c r="D42" s="276"/>
      <c r="E42" s="229">
        <f t="shared" si="0"/>
        <v>0</v>
      </c>
      <c r="F42" s="255"/>
      <c r="G42" s="255"/>
      <c r="H42" s="255"/>
      <c r="I42" s="255"/>
      <c r="J42" s="255"/>
      <c r="K42" s="255"/>
      <c r="L42" s="229">
        <f t="shared" si="1"/>
        <v>0</v>
      </c>
      <c r="M42" s="255"/>
      <c r="N42" s="255"/>
      <c r="O42" s="255"/>
      <c r="P42" s="255"/>
      <c r="Q42" s="255"/>
      <c r="R42" s="255"/>
      <c r="S42" s="546">
        <f t="shared" si="2"/>
        <v>0</v>
      </c>
      <c r="T42" s="255"/>
      <c r="U42" s="255"/>
      <c r="V42" s="255"/>
      <c r="W42" s="255"/>
    </row>
    <row r="43" spans="1:23">
      <c r="A43" t="str">
        <f>IF(ABS(E43)&gt;0,基础信息!$B$1,"")</f>
        <v/>
      </c>
      <c r="B43" s="255"/>
      <c r="C43" s="276"/>
      <c r="D43" s="276"/>
      <c r="E43" s="229">
        <f t="shared" si="0"/>
        <v>0</v>
      </c>
      <c r="F43" s="255"/>
      <c r="G43" s="255"/>
      <c r="H43" s="255"/>
      <c r="I43" s="255"/>
      <c r="J43" s="255"/>
      <c r="K43" s="255"/>
      <c r="L43" s="229">
        <f t="shared" si="1"/>
        <v>0</v>
      </c>
      <c r="M43" s="255"/>
      <c r="N43" s="255"/>
      <c r="O43" s="255"/>
      <c r="P43" s="255"/>
      <c r="Q43" s="255"/>
      <c r="R43" s="255"/>
      <c r="S43" s="546">
        <f t="shared" si="2"/>
        <v>0</v>
      </c>
      <c r="T43" s="255"/>
      <c r="U43" s="255"/>
      <c r="V43" s="255"/>
      <c r="W43" s="255"/>
    </row>
    <row r="44" spans="1:23">
      <c r="A44" t="str">
        <f>IF(ABS(E44)&gt;0,基础信息!$B$1,"")</f>
        <v/>
      </c>
      <c r="B44" s="255"/>
      <c r="C44" s="276"/>
      <c r="D44" s="276"/>
      <c r="E44" s="229">
        <f t="shared" si="0"/>
        <v>0</v>
      </c>
      <c r="F44" s="255"/>
      <c r="G44" s="255"/>
      <c r="H44" s="255"/>
      <c r="I44" s="255"/>
      <c r="J44" s="255"/>
      <c r="K44" s="255"/>
      <c r="L44" s="229">
        <f t="shared" si="1"/>
        <v>0</v>
      </c>
      <c r="M44" s="255"/>
      <c r="N44" s="255"/>
      <c r="O44" s="255"/>
      <c r="P44" s="255"/>
      <c r="Q44" s="255"/>
      <c r="R44" s="255"/>
      <c r="S44" s="546">
        <f t="shared" si="2"/>
        <v>0</v>
      </c>
      <c r="T44" s="255"/>
      <c r="U44" s="255"/>
      <c r="V44" s="255"/>
      <c r="W44" s="255"/>
    </row>
    <row r="45" spans="1:23">
      <c r="A45" t="str">
        <f>IF(ABS(E45)&gt;0,基础信息!$B$1,"")</f>
        <v/>
      </c>
      <c r="B45" s="255"/>
      <c r="C45" s="276"/>
      <c r="D45" s="276"/>
      <c r="E45" s="229">
        <f t="shared" si="0"/>
        <v>0</v>
      </c>
      <c r="F45" s="255"/>
      <c r="G45" s="255"/>
      <c r="H45" s="255"/>
      <c r="I45" s="255"/>
      <c r="J45" s="255"/>
      <c r="K45" s="255"/>
      <c r="L45" s="229">
        <f t="shared" si="1"/>
        <v>0</v>
      </c>
      <c r="M45" s="255"/>
      <c r="N45" s="255"/>
      <c r="O45" s="255"/>
      <c r="P45" s="255"/>
      <c r="Q45" s="255"/>
      <c r="R45" s="255"/>
      <c r="S45" s="546">
        <f t="shared" si="2"/>
        <v>0</v>
      </c>
      <c r="T45" s="255"/>
      <c r="U45" s="255"/>
      <c r="V45" s="255"/>
      <c r="W45" s="255"/>
    </row>
    <row r="46" spans="1:23">
      <c r="A46" t="str">
        <f>IF(ABS(E46)&gt;0,基础信息!$B$1,"")</f>
        <v/>
      </c>
      <c r="B46" s="255"/>
      <c r="C46" s="276"/>
      <c r="D46" s="276"/>
      <c r="E46" s="229">
        <f t="shared" si="0"/>
        <v>0</v>
      </c>
      <c r="F46" s="255"/>
      <c r="G46" s="255"/>
      <c r="H46" s="255"/>
      <c r="I46" s="255"/>
      <c r="J46" s="255"/>
      <c r="K46" s="255"/>
      <c r="L46" s="229">
        <f t="shared" si="1"/>
        <v>0</v>
      </c>
      <c r="M46" s="255"/>
      <c r="N46" s="255"/>
      <c r="O46" s="255"/>
      <c r="P46" s="255"/>
      <c r="Q46" s="255"/>
      <c r="R46" s="255"/>
      <c r="S46" s="546">
        <f t="shared" si="2"/>
        <v>0</v>
      </c>
      <c r="T46" s="255"/>
      <c r="U46" s="255"/>
      <c r="V46" s="255"/>
      <c r="W46" s="255"/>
    </row>
    <row r="47" spans="1:23">
      <c r="A47" t="str">
        <f>IF(ABS(E47)&gt;0,基础信息!$B$1,"")</f>
        <v/>
      </c>
      <c r="B47" s="255"/>
      <c r="C47" s="276"/>
      <c r="D47" s="276"/>
      <c r="E47" s="229">
        <f t="shared" si="0"/>
        <v>0</v>
      </c>
      <c r="F47" s="255"/>
      <c r="G47" s="255"/>
      <c r="H47" s="255"/>
      <c r="I47" s="255"/>
      <c r="J47" s="255"/>
      <c r="K47" s="255"/>
      <c r="L47" s="229">
        <f t="shared" si="1"/>
        <v>0</v>
      </c>
      <c r="M47" s="255"/>
      <c r="N47" s="255"/>
      <c r="O47" s="255"/>
      <c r="P47" s="255"/>
      <c r="Q47" s="255"/>
      <c r="R47" s="255"/>
      <c r="S47" s="546">
        <f t="shared" si="2"/>
        <v>0</v>
      </c>
      <c r="T47" s="255"/>
      <c r="U47" s="255"/>
      <c r="V47" s="255"/>
      <c r="W47" s="255"/>
    </row>
    <row r="48" spans="1:23">
      <c r="A48" t="str">
        <f>IF(ABS(E48)&gt;0,基础信息!$B$1,"")</f>
        <v/>
      </c>
      <c r="B48" s="255"/>
      <c r="C48" s="276"/>
      <c r="D48" s="276"/>
      <c r="E48" s="229">
        <f t="shared" si="0"/>
        <v>0</v>
      </c>
      <c r="F48" s="255"/>
      <c r="G48" s="255"/>
      <c r="H48" s="255"/>
      <c r="I48" s="255"/>
      <c r="J48" s="255"/>
      <c r="K48" s="255"/>
      <c r="L48" s="229">
        <f t="shared" si="1"/>
        <v>0</v>
      </c>
      <c r="M48" s="255"/>
      <c r="N48" s="255"/>
      <c r="O48" s="255"/>
      <c r="P48" s="255"/>
      <c r="Q48" s="255"/>
      <c r="R48" s="255"/>
      <c r="S48" s="546">
        <f t="shared" si="2"/>
        <v>0</v>
      </c>
      <c r="T48" s="255"/>
      <c r="U48" s="255"/>
      <c r="V48" s="255"/>
      <c r="W48" s="255"/>
    </row>
    <row r="49" spans="1:23">
      <c r="A49" t="str">
        <f>IF(ABS(E49)&gt;0,基础信息!$B$1,"")</f>
        <v/>
      </c>
      <c r="B49" s="255"/>
      <c r="C49" s="276"/>
      <c r="D49" s="276"/>
      <c r="E49" s="229">
        <f t="shared" si="0"/>
        <v>0</v>
      </c>
      <c r="F49" s="255"/>
      <c r="G49" s="255"/>
      <c r="H49" s="255"/>
      <c r="I49" s="255"/>
      <c r="J49" s="255"/>
      <c r="K49" s="255"/>
      <c r="L49" s="229">
        <f t="shared" si="1"/>
        <v>0</v>
      </c>
      <c r="M49" s="255"/>
      <c r="N49" s="255"/>
      <c r="O49" s="255"/>
      <c r="P49" s="255"/>
      <c r="Q49" s="255"/>
      <c r="R49" s="255"/>
      <c r="S49" s="546">
        <f t="shared" si="2"/>
        <v>0</v>
      </c>
      <c r="T49" s="255"/>
      <c r="U49" s="255"/>
      <c r="V49" s="255"/>
      <c r="W49" s="255"/>
    </row>
    <row r="50" spans="1:23">
      <c r="A50" t="str">
        <f>IF(ABS(E50)&gt;0,基础信息!$B$1,"")</f>
        <v/>
      </c>
      <c r="B50" s="255"/>
      <c r="C50" s="276"/>
      <c r="D50" s="276"/>
      <c r="E50" s="229">
        <f t="shared" si="0"/>
        <v>0</v>
      </c>
      <c r="F50" s="255"/>
      <c r="G50" s="255"/>
      <c r="H50" s="255"/>
      <c r="I50" s="255"/>
      <c r="J50" s="255"/>
      <c r="K50" s="255"/>
      <c r="L50" s="229">
        <f t="shared" si="1"/>
        <v>0</v>
      </c>
      <c r="M50" s="255"/>
      <c r="N50" s="255"/>
      <c r="O50" s="255"/>
      <c r="P50" s="255"/>
      <c r="Q50" s="255"/>
      <c r="R50" s="255"/>
      <c r="S50" s="546">
        <f t="shared" si="2"/>
        <v>0</v>
      </c>
      <c r="T50" s="255"/>
      <c r="U50" s="255"/>
      <c r="V50" s="255"/>
      <c r="W50" s="255"/>
    </row>
    <row r="51" spans="1:23">
      <c r="A51" t="str">
        <f>IF(ABS(E51)&gt;0,基础信息!$B$1,"")</f>
        <v/>
      </c>
      <c r="B51" s="255"/>
      <c r="C51" s="276"/>
      <c r="D51" s="276"/>
      <c r="E51" s="229">
        <f t="shared" si="0"/>
        <v>0</v>
      </c>
      <c r="F51" s="255"/>
      <c r="G51" s="255"/>
      <c r="H51" s="255"/>
      <c r="I51" s="255"/>
      <c r="J51" s="255"/>
      <c r="K51" s="255"/>
      <c r="L51" s="229">
        <f t="shared" si="1"/>
        <v>0</v>
      </c>
      <c r="M51" s="255"/>
      <c r="N51" s="255"/>
      <c r="O51" s="255"/>
      <c r="P51" s="255"/>
      <c r="Q51" s="255"/>
      <c r="R51" s="255"/>
      <c r="S51" s="546">
        <f t="shared" si="2"/>
        <v>0</v>
      </c>
      <c r="T51" s="255"/>
      <c r="U51" s="255"/>
      <c r="V51" s="255"/>
      <c r="W51" s="255"/>
    </row>
    <row r="52" spans="1:23">
      <c r="A52" t="str">
        <f>IF(ABS(E52)&gt;0,基础信息!$B$1,"")</f>
        <v/>
      </c>
      <c r="B52" s="255"/>
      <c r="C52" s="276"/>
      <c r="D52" s="276"/>
      <c r="E52" s="229">
        <f t="shared" si="0"/>
        <v>0</v>
      </c>
      <c r="F52" s="255"/>
      <c r="G52" s="255"/>
      <c r="H52" s="255"/>
      <c r="I52" s="255"/>
      <c r="J52" s="255"/>
      <c r="K52" s="255"/>
      <c r="L52" s="229">
        <f t="shared" si="1"/>
        <v>0</v>
      </c>
      <c r="M52" s="255"/>
      <c r="N52" s="255"/>
      <c r="O52" s="255"/>
      <c r="P52" s="255"/>
      <c r="Q52" s="255"/>
      <c r="R52" s="255"/>
      <c r="S52" s="546">
        <f t="shared" si="2"/>
        <v>0</v>
      </c>
      <c r="T52" s="255"/>
      <c r="U52" s="255"/>
      <c r="V52" s="255"/>
      <c r="W52" s="255"/>
    </row>
    <row r="53" spans="1:23">
      <c r="A53" t="str">
        <f>IF(ABS(E53)&gt;0,基础信息!$B$1,"")</f>
        <v/>
      </c>
      <c r="B53" s="255"/>
      <c r="C53" s="276"/>
      <c r="D53" s="276"/>
      <c r="E53" s="229">
        <f t="shared" si="0"/>
        <v>0</v>
      </c>
      <c r="F53" s="255"/>
      <c r="G53" s="255"/>
      <c r="H53" s="255"/>
      <c r="I53" s="255"/>
      <c r="J53" s="255"/>
      <c r="K53" s="255"/>
      <c r="L53" s="229">
        <f t="shared" si="1"/>
        <v>0</v>
      </c>
      <c r="M53" s="255"/>
      <c r="N53" s="255"/>
      <c r="O53" s="255"/>
      <c r="P53" s="255"/>
      <c r="Q53" s="255"/>
      <c r="R53" s="255"/>
      <c r="S53" s="546">
        <f t="shared" si="2"/>
        <v>0</v>
      </c>
      <c r="T53" s="255"/>
      <c r="U53" s="255"/>
      <c r="V53" s="255"/>
      <c r="W53" s="255"/>
    </row>
    <row r="54" spans="1:23">
      <c r="A54" t="str">
        <f>IF(ABS(E54)&gt;0,基础信息!$B$1,"")</f>
        <v/>
      </c>
      <c r="B54" s="255"/>
      <c r="C54" s="276"/>
      <c r="D54" s="276"/>
      <c r="E54" s="229">
        <f t="shared" si="0"/>
        <v>0</v>
      </c>
      <c r="F54" s="255"/>
      <c r="G54" s="255"/>
      <c r="H54" s="255"/>
      <c r="I54" s="255"/>
      <c r="J54" s="255"/>
      <c r="K54" s="255"/>
      <c r="L54" s="229">
        <f t="shared" si="1"/>
        <v>0</v>
      </c>
      <c r="M54" s="255"/>
      <c r="N54" s="255"/>
      <c r="O54" s="255"/>
      <c r="P54" s="255"/>
      <c r="Q54" s="255"/>
      <c r="R54" s="255"/>
      <c r="S54" s="546">
        <f t="shared" si="2"/>
        <v>0</v>
      </c>
      <c r="T54" s="255"/>
      <c r="U54" s="255"/>
      <c r="V54" s="255"/>
      <c r="W54" s="255"/>
    </row>
    <row r="55" spans="1:23">
      <c r="A55" t="str">
        <f>IF(ABS(E55)&gt;0,基础信息!$B$1,"")</f>
        <v/>
      </c>
      <c r="B55" s="255"/>
      <c r="C55" s="276"/>
      <c r="D55" s="276"/>
      <c r="E55" s="229">
        <f t="shared" si="0"/>
        <v>0</v>
      </c>
      <c r="F55" s="255"/>
      <c r="G55" s="255"/>
      <c r="H55" s="255"/>
      <c r="I55" s="255"/>
      <c r="J55" s="255"/>
      <c r="K55" s="255"/>
      <c r="L55" s="229">
        <f t="shared" si="1"/>
        <v>0</v>
      </c>
      <c r="M55" s="255"/>
      <c r="N55" s="255"/>
      <c r="O55" s="255"/>
      <c r="P55" s="255"/>
      <c r="Q55" s="255"/>
      <c r="R55" s="255"/>
      <c r="S55" s="546">
        <f t="shared" si="2"/>
        <v>0</v>
      </c>
      <c r="T55" s="255"/>
      <c r="U55" s="255"/>
      <c r="V55" s="255"/>
      <c r="W55" s="255"/>
    </row>
    <row r="56" spans="1:23">
      <c r="A56" t="str">
        <f>IF(ABS(E56)&gt;0,基础信息!$B$1,"")</f>
        <v/>
      </c>
      <c r="B56" s="255"/>
      <c r="C56" s="276"/>
      <c r="D56" s="276"/>
      <c r="E56" s="229">
        <f t="shared" si="0"/>
        <v>0</v>
      </c>
      <c r="F56" s="255"/>
      <c r="G56" s="255"/>
      <c r="H56" s="255"/>
      <c r="I56" s="255"/>
      <c r="J56" s="255"/>
      <c r="K56" s="255"/>
      <c r="L56" s="229">
        <f t="shared" si="1"/>
        <v>0</v>
      </c>
      <c r="M56" s="255"/>
      <c r="N56" s="255"/>
      <c r="O56" s="255"/>
      <c r="P56" s="255"/>
      <c r="Q56" s="255"/>
      <c r="R56" s="255"/>
      <c r="S56" s="546">
        <f t="shared" si="2"/>
        <v>0</v>
      </c>
      <c r="T56" s="255"/>
      <c r="U56" s="255"/>
      <c r="V56" s="255"/>
      <c r="W56" s="255"/>
    </row>
    <row r="57" spans="1:23">
      <c r="A57" t="str">
        <f>IF(ABS(E57)&gt;0,基础信息!$B$1,"")</f>
        <v/>
      </c>
      <c r="B57" s="255"/>
      <c r="C57" s="276"/>
      <c r="D57" s="276"/>
      <c r="E57" s="229">
        <f t="shared" si="0"/>
        <v>0</v>
      </c>
      <c r="F57" s="255"/>
      <c r="G57" s="255"/>
      <c r="H57" s="255"/>
      <c r="I57" s="255"/>
      <c r="J57" s="255"/>
      <c r="K57" s="255"/>
      <c r="L57" s="229">
        <f t="shared" si="1"/>
        <v>0</v>
      </c>
      <c r="M57" s="255"/>
      <c r="N57" s="255"/>
      <c r="O57" s="255"/>
      <c r="P57" s="255"/>
      <c r="Q57" s="255"/>
      <c r="R57" s="255"/>
      <c r="S57" s="546">
        <f t="shared" si="2"/>
        <v>0</v>
      </c>
      <c r="T57" s="255"/>
      <c r="U57" s="255"/>
      <c r="V57" s="255"/>
      <c r="W57" s="255"/>
    </row>
    <row r="58" spans="1:23">
      <c r="A58" t="str">
        <f>IF(ABS(E58)&gt;0,基础信息!$B$1,"")</f>
        <v/>
      </c>
      <c r="B58" s="255"/>
      <c r="C58" s="276"/>
      <c r="D58" s="276"/>
      <c r="E58" s="229">
        <f t="shared" si="0"/>
        <v>0</v>
      </c>
      <c r="F58" s="255"/>
      <c r="G58" s="255"/>
      <c r="H58" s="255"/>
      <c r="I58" s="255"/>
      <c r="J58" s="255"/>
      <c r="K58" s="255"/>
      <c r="L58" s="229">
        <f t="shared" si="1"/>
        <v>0</v>
      </c>
      <c r="M58" s="255"/>
      <c r="N58" s="255"/>
      <c r="O58" s="255"/>
      <c r="P58" s="255"/>
      <c r="Q58" s="255"/>
      <c r="R58" s="255"/>
      <c r="S58" s="546">
        <f t="shared" si="2"/>
        <v>0</v>
      </c>
      <c r="T58" s="255"/>
      <c r="U58" s="255"/>
      <c r="V58" s="255"/>
      <c r="W58" s="255"/>
    </row>
    <row r="59" spans="1:23">
      <c r="A59" t="str">
        <f>IF(ABS(E59)&gt;0,基础信息!$B$1,"")</f>
        <v/>
      </c>
      <c r="B59" s="255"/>
      <c r="C59" s="276"/>
      <c r="D59" s="276"/>
      <c r="E59" s="229">
        <f t="shared" si="0"/>
        <v>0</v>
      </c>
      <c r="F59" s="255"/>
      <c r="G59" s="255"/>
      <c r="H59" s="255"/>
      <c r="I59" s="255"/>
      <c r="J59" s="255"/>
      <c r="K59" s="255"/>
      <c r="L59" s="229">
        <f t="shared" si="1"/>
        <v>0</v>
      </c>
      <c r="M59" s="255"/>
      <c r="N59" s="255"/>
      <c r="O59" s="255"/>
      <c r="P59" s="255"/>
      <c r="Q59" s="255"/>
      <c r="R59" s="255"/>
      <c r="S59" s="546">
        <f t="shared" si="2"/>
        <v>0</v>
      </c>
      <c r="T59" s="255"/>
      <c r="U59" s="255"/>
      <c r="V59" s="255"/>
      <c r="W59" s="255"/>
    </row>
    <row r="60" spans="1:23">
      <c r="A60" t="str">
        <f>IF(ABS(E60)&gt;0,基础信息!$B$1,"")</f>
        <v/>
      </c>
      <c r="B60" s="255"/>
      <c r="C60" s="276"/>
      <c r="D60" s="276"/>
      <c r="E60" s="229">
        <f t="shared" si="0"/>
        <v>0</v>
      </c>
      <c r="F60" s="255"/>
      <c r="G60" s="255"/>
      <c r="H60" s="255"/>
      <c r="I60" s="255"/>
      <c r="J60" s="255"/>
      <c r="K60" s="255"/>
      <c r="L60" s="229">
        <f t="shared" si="1"/>
        <v>0</v>
      </c>
      <c r="M60" s="255"/>
      <c r="N60" s="255"/>
      <c r="O60" s="255"/>
      <c r="P60" s="255"/>
      <c r="Q60" s="255"/>
      <c r="R60" s="255"/>
      <c r="S60" s="546">
        <f t="shared" si="2"/>
        <v>0</v>
      </c>
      <c r="T60" s="255"/>
      <c r="U60" s="255"/>
      <c r="V60" s="255"/>
      <c r="W60" s="255"/>
    </row>
    <row r="61" spans="1:23">
      <c r="A61" t="str">
        <f>IF(ABS(E61)&gt;0,基础信息!$B$1,"")</f>
        <v/>
      </c>
      <c r="B61" s="255"/>
      <c r="C61" s="276"/>
      <c r="D61" s="276"/>
      <c r="E61" s="229">
        <f t="shared" si="0"/>
        <v>0</v>
      </c>
      <c r="F61" s="255"/>
      <c r="G61" s="255"/>
      <c r="H61" s="255"/>
      <c r="I61" s="255"/>
      <c r="J61" s="255"/>
      <c r="K61" s="255"/>
      <c r="L61" s="229">
        <f t="shared" si="1"/>
        <v>0</v>
      </c>
      <c r="M61" s="255"/>
      <c r="N61" s="255"/>
      <c r="O61" s="255"/>
      <c r="P61" s="255"/>
      <c r="Q61" s="255"/>
      <c r="R61" s="255"/>
      <c r="S61" s="546">
        <f t="shared" si="2"/>
        <v>0</v>
      </c>
      <c r="T61" s="255"/>
      <c r="U61" s="255"/>
      <c r="V61" s="255"/>
      <c r="W61" s="255"/>
    </row>
    <row r="62" spans="1:23">
      <c r="A62" t="str">
        <f>IF(ABS(E62)&gt;0,基础信息!$B$1,"")</f>
        <v/>
      </c>
      <c r="B62" s="255"/>
      <c r="C62" s="276"/>
      <c r="D62" s="276"/>
      <c r="E62" s="229">
        <f t="shared" si="0"/>
        <v>0</v>
      </c>
      <c r="F62" s="255"/>
      <c r="G62" s="255"/>
      <c r="H62" s="255"/>
      <c r="I62" s="255"/>
      <c r="J62" s="255"/>
      <c r="K62" s="255"/>
      <c r="L62" s="229">
        <f t="shared" si="1"/>
        <v>0</v>
      </c>
      <c r="M62" s="255"/>
      <c r="N62" s="255"/>
      <c r="O62" s="255"/>
      <c r="P62" s="255"/>
      <c r="Q62" s="255"/>
      <c r="R62" s="255"/>
      <c r="S62" s="546">
        <f t="shared" si="2"/>
        <v>0</v>
      </c>
      <c r="T62" s="255"/>
      <c r="U62" s="255"/>
      <c r="V62" s="255"/>
      <c r="W62" s="255"/>
    </row>
    <row r="63" spans="1:23">
      <c r="A63" t="str">
        <f>IF(ABS(E63)&gt;0,基础信息!$B$1,"")</f>
        <v/>
      </c>
      <c r="B63" s="255"/>
      <c r="C63" s="276"/>
      <c r="D63" s="276"/>
      <c r="E63" s="229">
        <f t="shared" si="0"/>
        <v>0</v>
      </c>
      <c r="F63" s="255"/>
      <c r="G63" s="255"/>
      <c r="H63" s="255"/>
      <c r="I63" s="255"/>
      <c r="J63" s="255"/>
      <c r="K63" s="255"/>
      <c r="L63" s="229">
        <f t="shared" si="1"/>
        <v>0</v>
      </c>
      <c r="M63" s="255"/>
      <c r="N63" s="255"/>
      <c r="O63" s="255"/>
      <c r="P63" s="255"/>
      <c r="Q63" s="255"/>
      <c r="R63" s="255"/>
      <c r="S63" s="546">
        <f t="shared" si="2"/>
        <v>0</v>
      </c>
      <c r="T63" s="255"/>
      <c r="U63" s="255"/>
      <c r="V63" s="255"/>
      <c r="W63" s="255"/>
    </row>
    <row r="64" spans="1:23">
      <c r="A64" t="str">
        <f>IF(ABS(E64)&gt;0,基础信息!$B$1,"")</f>
        <v/>
      </c>
      <c r="B64" s="255"/>
      <c r="C64" s="276"/>
      <c r="D64" s="276"/>
      <c r="E64" s="229">
        <f t="shared" si="0"/>
        <v>0</v>
      </c>
      <c r="F64" s="255"/>
      <c r="G64" s="255"/>
      <c r="H64" s="255"/>
      <c r="I64" s="255"/>
      <c r="J64" s="255"/>
      <c r="K64" s="255"/>
      <c r="L64" s="229">
        <f t="shared" si="1"/>
        <v>0</v>
      </c>
      <c r="M64" s="255"/>
      <c r="N64" s="255"/>
      <c r="O64" s="255"/>
      <c r="P64" s="255"/>
      <c r="Q64" s="255"/>
      <c r="R64" s="255"/>
      <c r="S64" s="546">
        <f t="shared" si="2"/>
        <v>0</v>
      </c>
      <c r="T64" s="255"/>
      <c r="U64" s="255"/>
      <c r="V64" s="255"/>
      <c r="W64" s="255"/>
    </row>
    <row r="65" spans="1:23">
      <c r="A65" t="str">
        <f>IF(ABS(E65)&gt;0,基础信息!$B$1,"")</f>
        <v/>
      </c>
      <c r="B65" s="255"/>
      <c r="C65" s="276"/>
      <c r="D65" s="276"/>
      <c r="E65" s="229">
        <f t="shared" si="0"/>
        <v>0</v>
      </c>
      <c r="F65" s="255"/>
      <c r="G65" s="255"/>
      <c r="H65" s="255"/>
      <c r="I65" s="255"/>
      <c r="J65" s="255"/>
      <c r="K65" s="255"/>
      <c r="L65" s="229">
        <f t="shared" si="1"/>
        <v>0</v>
      </c>
      <c r="M65" s="255"/>
      <c r="N65" s="255"/>
      <c r="O65" s="255"/>
      <c r="P65" s="255"/>
      <c r="Q65" s="255"/>
      <c r="R65" s="255"/>
      <c r="S65" s="546">
        <f t="shared" si="2"/>
        <v>0</v>
      </c>
      <c r="T65" s="255"/>
      <c r="U65" s="255"/>
      <c r="V65" s="255"/>
      <c r="W65" s="255"/>
    </row>
    <row r="66" spans="1:23">
      <c r="A66" t="str">
        <f>IF(ABS(E66)&gt;0,基础信息!$B$1,"")</f>
        <v/>
      </c>
      <c r="B66" s="255"/>
      <c r="C66" s="276"/>
      <c r="D66" s="276"/>
      <c r="E66" s="229">
        <f t="shared" si="0"/>
        <v>0</v>
      </c>
      <c r="F66" s="255"/>
      <c r="G66" s="255"/>
      <c r="H66" s="255"/>
      <c r="I66" s="255"/>
      <c r="J66" s="255"/>
      <c r="K66" s="255"/>
      <c r="L66" s="229">
        <f t="shared" si="1"/>
        <v>0</v>
      </c>
      <c r="M66" s="255"/>
      <c r="N66" s="255"/>
      <c r="O66" s="255"/>
      <c r="P66" s="255"/>
      <c r="Q66" s="255"/>
      <c r="R66" s="255"/>
      <c r="S66" s="546">
        <f t="shared" si="2"/>
        <v>0</v>
      </c>
      <c r="T66" s="255"/>
      <c r="U66" s="255"/>
      <c r="V66" s="255"/>
      <c r="W66" s="255"/>
    </row>
    <row r="67" spans="1:23">
      <c r="A67" t="str">
        <f>IF(ABS(E67)&gt;0,基础信息!$B$1,"")</f>
        <v/>
      </c>
      <c r="B67" s="255"/>
      <c r="C67" s="276"/>
      <c r="D67" s="276"/>
      <c r="E67" s="229">
        <f t="shared" ref="E67:E102" si="3">SUM(F67:K67)</f>
        <v>0</v>
      </c>
      <c r="F67" s="255"/>
      <c r="G67" s="255"/>
      <c r="H67" s="255"/>
      <c r="I67" s="255"/>
      <c r="J67" s="255"/>
      <c r="K67" s="255"/>
      <c r="L67" s="229">
        <f t="shared" ref="L67:L102" si="4">SUM(M67:R67)</f>
        <v>0</v>
      </c>
      <c r="M67" s="255"/>
      <c r="N67" s="255"/>
      <c r="O67" s="255"/>
      <c r="P67" s="255"/>
      <c r="Q67" s="255"/>
      <c r="R67" s="255"/>
      <c r="S67" s="546">
        <f t="shared" ref="S67:S102" si="5">E67-L67</f>
        <v>0</v>
      </c>
      <c r="T67" s="255"/>
      <c r="U67" s="255"/>
      <c r="V67" s="255"/>
      <c r="W67" s="255"/>
    </row>
    <row r="68" spans="1:23">
      <c r="A68" t="str">
        <f>IF(ABS(E68)&gt;0,基础信息!$B$1,"")</f>
        <v/>
      </c>
      <c r="B68" s="255"/>
      <c r="C68" s="276"/>
      <c r="D68" s="276"/>
      <c r="E68" s="229">
        <f t="shared" si="3"/>
        <v>0</v>
      </c>
      <c r="F68" s="255"/>
      <c r="G68" s="255"/>
      <c r="H68" s="255"/>
      <c r="I68" s="255"/>
      <c r="J68" s="255"/>
      <c r="K68" s="255"/>
      <c r="L68" s="229">
        <f t="shared" si="4"/>
        <v>0</v>
      </c>
      <c r="M68" s="255"/>
      <c r="N68" s="255"/>
      <c r="O68" s="255"/>
      <c r="P68" s="255"/>
      <c r="Q68" s="255"/>
      <c r="R68" s="255"/>
      <c r="S68" s="546">
        <f t="shared" si="5"/>
        <v>0</v>
      </c>
      <c r="T68" s="255"/>
      <c r="U68" s="255"/>
      <c r="V68" s="255"/>
      <c r="W68" s="255"/>
    </row>
    <row r="69" spans="1:23">
      <c r="A69" t="str">
        <f>IF(ABS(E69)&gt;0,基础信息!$B$1,"")</f>
        <v/>
      </c>
      <c r="B69" s="255"/>
      <c r="C69" s="276"/>
      <c r="D69" s="276"/>
      <c r="E69" s="229">
        <f t="shared" si="3"/>
        <v>0</v>
      </c>
      <c r="F69" s="255"/>
      <c r="G69" s="255"/>
      <c r="H69" s="255"/>
      <c r="I69" s="255"/>
      <c r="J69" s="255"/>
      <c r="K69" s="255"/>
      <c r="L69" s="229">
        <f t="shared" si="4"/>
        <v>0</v>
      </c>
      <c r="M69" s="255"/>
      <c r="N69" s="255"/>
      <c r="O69" s="255"/>
      <c r="P69" s="255"/>
      <c r="Q69" s="255"/>
      <c r="R69" s="255"/>
      <c r="S69" s="546">
        <f t="shared" si="5"/>
        <v>0</v>
      </c>
      <c r="T69" s="255"/>
      <c r="U69" s="255"/>
      <c r="V69" s="255"/>
      <c r="W69" s="255"/>
    </row>
    <row r="70" spans="1:23">
      <c r="A70" t="str">
        <f>IF(ABS(E70)&gt;0,基础信息!$B$1,"")</f>
        <v/>
      </c>
      <c r="B70" s="255"/>
      <c r="C70" s="276"/>
      <c r="D70" s="276"/>
      <c r="E70" s="229">
        <f t="shared" si="3"/>
        <v>0</v>
      </c>
      <c r="F70" s="255"/>
      <c r="G70" s="255"/>
      <c r="H70" s="255"/>
      <c r="I70" s="255"/>
      <c r="J70" s="255"/>
      <c r="K70" s="255"/>
      <c r="L70" s="229">
        <f t="shared" si="4"/>
        <v>0</v>
      </c>
      <c r="M70" s="255"/>
      <c r="N70" s="255"/>
      <c r="O70" s="255"/>
      <c r="P70" s="255"/>
      <c r="Q70" s="255"/>
      <c r="R70" s="255"/>
      <c r="S70" s="546">
        <f t="shared" si="5"/>
        <v>0</v>
      </c>
      <c r="T70" s="255"/>
      <c r="U70" s="255"/>
      <c r="V70" s="255"/>
      <c r="W70" s="255"/>
    </row>
    <row r="71" spans="1:23">
      <c r="A71" t="str">
        <f>IF(ABS(E71)&gt;0,基础信息!$B$1,"")</f>
        <v/>
      </c>
      <c r="B71" s="255"/>
      <c r="C71" s="276"/>
      <c r="D71" s="276"/>
      <c r="E71" s="229">
        <f t="shared" si="3"/>
        <v>0</v>
      </c>
      <c r="F71" s="255"/>
      <c r="G71" s="255"/>
      <c r="H71" s="255"/>
      <c r="I71" s="255"/>
      <c r="J71" s="255"/>
      <c r="K71" s="255"/>
      <c r="L71" s="229">
        <f t="shared" si="4"/>
        <v>0</v>
      </c>
      <c r="M71" s="255"/>
      <c r="N71" s="255"/>
      <c r="O71" s="255"/>
      <c r="P71" s="255"/>
      <c r="Q71" s="255"/>
      <c r="R71" s="255"/>
      <c r="S71" s="546">
        <f t="shared" si="5"/>
        <v>0</v>
      </c>
      <c r="T71" s="255"/>
      <c r="U71" s="255"/>
      <c r="V71" s="255"/>
      <c r="W71" s="255"/>
    </row>
    <row r="72" spans="1:23">
      <c r="A72" t="str">
        <f>IF(ABS(E72)&gt;0,基础信息!$B$1,"")</f>
        <v/>
      </c>
      <c r="B72" s="255"/>
      <c r="C72" s="276"/>
      <c r="D72" s="276"/>
      <c r="E72" s="229">
        <f t="shared" si="3"/>
        <v>0</v>
      </c>
      <c r="F72" s="255"/>
      <c r="G72" s="255"/>
      <c r="H72" s="255"/>
      <c r="I72" s="255"/>
      <c r="J72" s="255"/>
      <c r="K72" s="255"/>
      <c r="L72" s="229">
        <f t="shared" si="4"/>
        <v>0</v>
      </c>
      <c r="M72" s="255"/>
      <c r="N72" s="255"/>
      <c r="O72" s="255"/>
      <c r="P72" s="255"/>
      <c r="Q72" s="255"/>
      <c r="R72" s="255"/>
      <c r="S72" s="546">
        <f t="shared" si="5"/>
        <v>0</v>
      </c>
      <c r="T72" s="255"/>
      <c r="U72" s="255"/>
      <c r="V72" s="255"/>
      <c r="W72" s="255"/>
    </row>
    <row r="73" spans="1:23">
      <c r="A73" t="str">
        <f>IF(ABS(E73)&gt;0,基础信息!$B$1,"")</f>
        <v/>
      </c>
      <c r="B73" s="255"/>
      <c r="C73" s="276"/>
      <c r="D73" s="276"/>
      <c r="E73" s="229">
        <f t="shared" si="3"/>
        <v>0</v>
      </c>
      <c r="F73" s="255"/>
      <c r="G73" s="255"/>
      <c r="H73" s="255"/>
      <c r="I73" s="255"/>
      <c r="J73" s="255"/>
      <c r="K73" s="255"/>
      <c r="L73" s="229">
        <f t="shared" si="4"/>
        <v>0</v>
      </c>
      <c r="M73" s="255"/>
      <c r="N73" s="255"/>
      <c r="O73" s="255"/>
      <c r="P73" s="255"/>
      <c r="Q73" s="255"/>
      <c r="R73" s="255"/>
      <c r="S73" s="546">
        <f t="shared" si="5"/>
        <v>0</v>
      </c>
      <c r="T73" s="255"/>
      <c r="U73" s="255"/>
      <c r="V73" s="255"/>
      <c r="W73" s="255"/>
    </row>
    <row r="74" spans="1:23">
      <c r="A74" t="str">
        <f>IF(ABS(E74)&gt;0,基础信息!$B$1,"")</f>
        <v/>
      </c>
      <c r="B74" s="255"/>
      <c r="C74" s="276"/>
      <c r="D74" s="276"/>
      <c r="E74" s="229">
        <f t="shared" si="3"/>
        <v>0</v>
      </c>
      <c r="F74" s="255"/>
      <c r="G74" s="255"/>
      <c r="H74" s="255"/>
      <c r="I74" s="255"/>
      <c r="J74" s="255"/>
      <c r="K74" s="255"/>
      <c r="L74" s="229">
        <f t="shared" si="4"/>
        <v>0</v>
      </c>
      <c r="M74" s="255"/>
      <c r="N74" s="255"/>
      <c r="O74" s="255"/>
      <c r="P74" s="255"/>
      <c r="Q74" s="255"/>
      <c r="R74" s="255"/>
      <c r="S74" s="546">
        <f t="shared" si="5"/>
        <v>0</v>
      </c>
      <c r="T74" s="255"/>
      <c r="U74" s="255"/>
      <c r="V74" s="255"/>
      <c r="W74" s="255"/>
    </row>
    <row r="75" spans="1:23">
      <c r="A75" t="str">
        <f>IF(ABS(E75)&gt;0,基础信息!$B$1,"")</f>
        <v/>
      </c>
      <c r="B75" s="255"/>
      <c r="C75" s="276"/>
      <c r="D75" s="276"/>
      <c r="E75" s="229">
        <f t="shared" si="3"/>
        <v>0</v>
      </c>
      <c r="F75" s="255"/>
      <c r="G75" s="255"/>
      <c r="H75" s="255"/>
      <c r="I75" s="255"/>
      <c r="J75" s="255"/>
      <c r="K75" s="255"/>
      <c r="L75" s="229">
        <f t="shared" si="4"/>
        <v>0</v>
      </c>
      <c r="M75" s="255"/>
      <c r="N75" s="255"/>
      <c r="O75" s="255"/>
      <c r="P75" s="255"/>
      <c r="Q75" s="255"/>
      <c r="R75" s="255"/>
      <c r="S75" s="546">
        <f t="shared" si="5"/>
        <v>0</v>
      </c>
      <c r="T75" s="255"/>
      <c r="U75" s="255"/>
      <c r="V75" s="255"/>
      <c r="W75" s="255"/>
    </row>
    <row r="76" spans="1:23">
      <c r="A76" t="str">
        <f>IF(ABS(E76)&gt;0,基础信息!$B$1,"")</f>
        <v/>
      </c>
      <c r="B76" s="255"/>
      <c r="C76" s="276"/>
      <c r="D76" s="276"/>
      <c r="E76" s="229">
        <f t="shared" si="3"/>
        <v>0</v>
      </c>
      <c r="F76" s="255"/>
      <c r="G76" s="255"/>
      <c r="H76" s="255"/>
      <c r="I76" s="255"/>
      <c r="J76" s="255"/>
      <c r="K76" s="255"/>
      <c r="L76" s="229">
        <f t="shared" si="4"/>
        <v>0</v>
      </c>
      <c r="M76" s="255"/>
      <c r="N76" s="255"/>
      <c r="O76" s="255"/>
      <c r="P76" s="255"/>
      <c r="Q76" s="255"/>
      <c r="R76" s="255"/>
      <c r="S76" s="546">
        <f t="shared" si="5"/>
        <v>0</v>
      </c>
      <c r="T76" s="255"/>
      <c r="U76" s="255"/>
      <c r="V76" s="255"/>
      <c r="W76" s="255"/>
    </row>
    <row r="77" spans="1:23">
      <c r="A77" t="str">
        <f>IF(ABS(E77)&gt;0,基础信息!$B$1,"")</f>
        <v/>
      </c>
      <c r="B77" s="255"/>
      <c r="C77" s="276"/>
      <c r="D77" s="276"/>
      <c r="E77" s="229">
        <f t="shared" si="3"/>
        <v>0</v>
      </c>
      <c r="F77" s="255"/>
      <c r="G77" s="255"/>
      <c r="H77" s="255"/>
      <c r="I77" s="255"/>
      <c r="J77" s="255"/>
      <c r="K77" s="255"/>
      <c r="L77" s="229">
        <f t="shared" si="4"/>
        <v>0</v>
      </c>
      <c r="M77" s="255"/>
      <c r="N77" s="255"/>
      <c r="O77" s="255"/>
      <c r="P77" s="255"/>
      <c r="Q77" s="255"/>
      <c r="R77" s="255"/>
      <c r="S77" s="546">
        <f t="shared" si="5"/>
        <v>0</v>
      </c>
      <c r="T77" s="255"/>
      <c r="U77" s="255"/>
      <c r="V77" s="255"/>
      <c r="W77" s="255"/>
    </row>
    <row r="78" spans="1:23">
      <c r="A78" t="str">
        <f>IF(ABS(E78)&gt;0,基础信息!$B$1,"")</f>
        <v/>
      </c>
      <c r="B78" s="255"/>
      <c r="C78" s="276"/>
      <c r="D78" s="276"/>
      <c r="E78" s="229">
        <f t="shared" si="3"/>
        <v>0</v>
      </c>
      <c r="F78" s="255"/>
      <c r="G78" s="255"/>
      <c r="H78" s="255"/>
      <c r="I78" s="255"/>
      <c r="J78" s="255"/>
      <c r="K78" s="255"/>
      <c r="L78" s="229">
        <f t="shared" si="4"/>
        <v>0</v>
      </c>
      <c r="M78" s="255"/>
      <c r="N78" s="255"/>
      <c r="O78" s="255"/>
      <c r="P78" s="255"/>
      <c r="Q78" s="255"/>
      <c r="R78" s="255"/>
      <c r="S78" s="546">
        <f t="shared" si="5"/>
        <v>0</v>
      </c>
      <c r="T78" s="255"/>
      <c r="U78" s="255"/>
      <c r="V78" s="255"/>
      <c r="W78" s="255"/>
    </row>
    <row r="79" spans="1:23">
      <c r="A79" t="str">
        <f>IF(ABS(E79)&gt;0,基础信息!$B$1,"")</f>
        <v/>
      </c>
      <c r="B79" s="255"/>
      <c r="C79" s="276"/>
      <c r="D79" s="276"/>
      <c r="E79" s="229">
        <f t="shared" si="3"/>
        <v>0</v>
      </c>
      <c r="F79" s="255"/>
      <c r="G79" s="255"/>
      <c r="H79" s="255"/>
      <c r="I79" s="255"/>
      <c r="J79" s="255"/>
      <c r="K79" s="255"/>
      <c r="L79" s="229">
        <f t="shared" si="4"/>
        <v>0</v>
      </c>
      <c r="M79" s="255"/>
      <c r="N79" s="255"/>
      <c r="O79" s="255"/>
      <c r="P79" s="255"/>
      <c r="Q79" s="255"/>
      <c r="R79" s="255"/>
      <c r="S79" s="546">
        <f t="shared" si="5"/>
        <v>0</v>
      </c>
      <c r="T79" s="255"/>
      <c r="U79" s="255"/>
      <c r="V79" s="255"/>
      <c r="W79" s="255"/>
    </row>
    <row r="80" spans="1:23">
      <c r="A80" t="str">
        <f>IF(ABS(E80)&gt;0,基础信息!$B$1,"")</f>
        <v/>
      </c>
      <c r="B80" s="255"/>
      <c r="C80" s="276"/>
      <c r="D80" s="276"/>
      <c r="E80" s="229">
        <f t="shared" si="3"/>
        <v>0</v>
      </c>
      <c r="F80" s="255"/>
      <c r="G80" s="255"/>
      <c r="H80" s="255"/>
      <c r="I80" s="255"/>
      <c r="J80" s="255"/>
      <c r="K80" s="255"/>
      <c r="L80" s="229">
        <f t="shared" si="4"/>
        <v>0</v>
      </c>
      <c r="M80" s="255"/>
      <c r="N80" s="255"/>
      <c r="O80" s="255"/>
      <c r="P80" s="255"/>
      <c r="Q80" s="255"/>
      <c r="R80" s="255"/>
      <c r="S80" s="546">
        <f t="shared" si="5"/>
        <v>0</v>
      </c>
      <c r="T80" s="255"/>
      <c r="U80" s="255"/>
      <c r="V80" s="255"/>
      <c r="W80" s="255"/>
    </row>
    <row r="81" spans="1:23">
      <c r="A81" t="str">
        <f>IF(ABS(E81)&gt;0,基础信息!$B$1,"")</f>
        <v/>
      </c>
      <c r="B81" s="255"/>
      <c r="C81" s="276"/>
      <c r="D81" s="276"/>
      <c r="E81" s="229">
        <f t="shared" si="3"/>
        <v>0</v>
      </c>
      <c r="F81" s="255"/>
      <c r="G81" s="255"/>
      <c r="H81" s="255"/>
      <c r="I81" s="255"/>
      <c r="J81" s="255"/>
      <c r="K81" s="255"/>
      <c r="L81" s="229">
        <f t="shared" si="4"/>
        <v>0</v>
      </c>
      <c r="M81" s="255"/>
      <c r="N81" s="255"/>
      <c r="O81" s="255"/>
      <c r="P81" s="255"/>
      <c r="Q81" s="255"/>
      <c r="R81" s="255"/>
      <c r="S81" s="546">
        <f t="shared" si="5"/>
        <v>0</v>
      </c>
      <c r="T81" s="255"/>
      <c r="U81" s="255"/>
      <c r="V81" s="255"/>
      <c r="W81" s="255"/>
    </row>
    <row r="82" spans="1:23">
      <c r="A82" t="str">
        <f>IF(ABS(E82)&gt;0,基础信息!$B$1,"")</f>
        <v/>
      </c>
      <c r="B82" s="255"/>
      <c r="C82" s="276"/>
      <c r="D82" s="276"/>
      <c r="E82" s="229">
        <f t="shared" si="3"/>
        <v>0</v>
      </c>
      <c r="F82" s="255"/>
      <c r="G82" s="255"/>
      <c r="H82" s="255"/>
      <c r="I82" s="255"/>
      <c r="J82" s="255"/>
      <c r="K82" s="255"/>
      <c r="L82" s="229">
        <f t="shared" si="4"/>
        <v>0</v>
      </c>
      <c r="M82" s="255"/>
      <c r="N82" s="255"/>
      <c r="O82" s="255"/>
      <c r="P82" s="255"/>
      <c r="Q82" s="255"/>
      <c r="R82" s="255"/>
      <c r="S82" s="546">
        <f t="shared" si="5"/>
        <v>0</v>
      </c>
      <c r="T82" s="255"/>
      <c r="U82" s="255"/>
      <c r="V82" s="255"/>
      <c r="W82" s="255"/>
    </row>
    <row r="83" spans="1:23">
      <c r="A83" t="str">
        <f>IF(ABS(E83)&gt;0,基础信息!$B$1,"")</f>
        <v/>
      </c>
      <c r="B83" s="255"/>
      <c r="C83" s="276"/>
      <c r="D83" s="276"/>
      <c r="E83" s="229">
        <f t="shared" si="3"/>
        <v>0</v>
      </c>
      <c r="F83" s="255"/>
      <c r="G83" s="255"/>
      <c r="H83" s="255"/>
      <c r="I83" s="255"/>
      <c r="J83" s="255"/>
      <c r="K83" s="255"/>
      <c r="L83" s="229">
        <f t="shared" si="4"/>
        <v>0</v>
      </c>
      <c r="M83" s="255"/>
      <c r="N83" s="255"/>
      <c r="O83" s="255"/>
      <c r="P83" s="255"/>
      <c r="Q83" s="255"/>
      <c r="R83" s="255"/>
      <c r="S83" s="546">
        <f t="shared" si="5"/>
        <v>0</v>
      </c>
      <c r="T83" s="255"/>
      <c r="U83" s="255"/>
      <c r="V83" s="255"/>
      <c r="W83" s="255"/>
    </row>
    <row r="84" spans="1:23">
      <c r="A84" t="str">
        <f>IF(ABS(E84)&gt;0,基础信息!$B$1,"")</f>
        <v/>
      </c>
      <c r="B84" s="255"/>
      <c r="C84" s="276"/>
      <c r="D84" s="276"/>
      <c r="E84" s="229">
        <f t="shared" si="3"/>
        <v>0</v>
      </c>
      <c r="F84" s="255"/>
      <c r="G84" s="255"/>
      <c r="H84" s="255"/>
      <c r="I84" s="255"/>
      <c r="J84" s="255"/>
      <c r="K84" s="255"/>
      <c r="L84" s="229">
        <f t="shared" si="4"/>
        <v>0</v>
      </c>
      <c r="M84" s="255"/>
      <c r="N84" s="255"/>
      <c r="O84" s="255"/>
      <c r="P84" s="255"/>
      <c r="Q84" s="255"/>
      <c r="R84" s="255"/>
      <c r="S84" s="546">
        <f t="shared" si="5"/>
        <v>0</v>
      </c>
      <c r="T84" s="255"/>
      <c r="U84" s="255"/>
      <c r="V84" s="255"/>
      <c r="W84" s="255"/>
    </row>
    <row r="85" spans="1:23">
      <c r="A85" t="str">
        <f>IF(ABS(E85)&gt;0,基础信息!$B$1,"")</f>
        <v/>
      </c>
      <c r="B85" s="255"/>
      <c r="C85" s="276"/>
      <c r="D85" s="276"/>
      <c r="E85" s="229">
        <f t="shared" si="3"/>
        <v>0</v>
      </c>
      <c r="F85" s="255"/>
      <c r="G85" s="255"/>
      <c r="H85" s="255"/>
      <c r="I85" s="255"/>
      <c r="J85" s="255"/>
      <c r="K85" s="255"/>
      <c r="L85" s="229">
        <f t="shared" si="4"/>
        <v>0</v>
      </c>
      <c r="M85" s="255"/>
      <c r="N85" s="255"/>
      <c r="O85" s="255"/>
      <c r="P85" s="255"/>
      <c r="Q85" s="255"/>
      <c r="R85" s="255"/>
      <c r="S85" s="546">
        <f t="shared" si="5"/>
        <v>0</v>
      </c>
      <c r="T85" s="255"/>
      <c r="U85" s="255"/>
      <c r="V85" s="255"/>
      <c r="W85" s="255"/>
    </row>
    <row r="86" spans="1:23">
      <c r="A86" t="str">
        <f>IF(ABS(E86)&gt;0,基础信息!$B$1,"")</f>
        <v/>
      </c>
      <c r="B86" s="255"/>
      <c r="C86" s="276"/>
      <c r="D86" s="276"/>
      <c r="E86" s="229">
        <f t="shared" si="3"/>
        <v>0</v>
      </c>
      <c r="F86" s="255"/>
      <c r="G86" s="255"/>
      <c r="H86" s="255"/>
      <c r="I86" s="255"/>
      <c r="J86" s="255"/>
      <c r="K86" s="255"/>
      <c r="L86" s="229">
        <f t="shared" si="4"/>
        <v>0</v>
      </c>
      <c r="M86" s="255"/>
      <c r="N86" s="255"/>
      <c r="O86" s="255"/>
      <c r="P86" s="255"/>
      <c r="Q86" s="255"/>
      <c r="R86" s="255"/>
      <c r="S86" s="546">
        <f t="shared" si="5"/>
        <v>0</v>
      </c>
      <c r="T86" s="255"/>
      <c r="U86" s="255"/>
      <c r="V86" s="255"/>
      <c r="W86" s="255"/>
    </row>
    <row r="87" spans="1:23">
      <c r="A87" t="str">
        <f>IF(ABS(E87)&gt;0,基础信息!$B$1,"")</f>
        <v/>
      </c>
      <c r="B87" s="255"/>
      <c r="C87" s="276"/>
      <c r="D87" s="276"/>
      <c r="E87" s="229">
        <f t="shared" si="3"/>
        <v>0</v>
      </c>
      <c r="F87" s="255"/>
      <c r="G87" s="255"/>
      <c r="H87" s="255"/>
      <c r="I87" s="255"/>
      <c r="J87" s="255"/>
      <c r="K87" s="255"/>
      <c r="L87" s="229">
        <f t="shared" si="4"/>
        <v>0</v>
      </c>
      <c r="M87" s="255"/>
      <c r="N87" s="255"/>
      <c r="O87" s="255"/>
      <c r="P87" s="255"/>
      <c r="Q87" s="255"/>
      <c r="R87" s="255"/>
      <c r="S87" s="546">
        <f t="shared" si="5"/>
        <v>0</v>
      </c>
      <c r="T87" s="255"/>
      <c r="U87" s="255"/>
      <c r="V87" s="255"/>
      <c r="W87" s="255"/>
    </row>
    <row r="88" spans="1:23">
      <c r="A88" t="str">
        <f>IF(ABS(E88)&gt;0,基础信息!$B$1,"")</f>
        <v/>
      </c>
      <c r="B88" s="255"/>
      <c r="C88" s="276"/>
      <c r="D88" s="276"/>
      <c r="E88" s="229">
        <f t="shared" si="3"/>
        <v>0</v>
      </c>
      <c r="F88" s="255"/>
      <c r="G88" s="255"/>
      <c r="H88" s="255"/>
      <c r="I88" s="255"/>
      <c r="J88" s="255"/>
      <c r="K88" s="255"/>
      <c r="L88" s="229">
        <f t="shared" si="4"/>
        <v>0</v>
      </c>
      <c r="M88" s="255"/>
      <c r="N88" s="255"/>
      <c r="O88" s="255"/>
      <c r="P88" s="255"/>
      <c r="Q88" s="255"/>
      <c r="R88" s="255"/>
      <c r="S88" s="546">
        <f t="shared" si="5"/>
        <v>0</v>
      </c>
      <c r="T88" s="255"/>
      <c r="U88" s="255"/>
      <c r="V88" s="255"/>
      <c r="W88" s="255"/>
    </row>
    <row r="89" spans="1:23">
      <c r="A89" t="str">
        <f>IF(ABS(E89)&gt;0,基础信息!$B$1,"")</f>
        <v/>
      </c>
      <c r="B89" s="255"/>
      <c r="C89" s="276"/>
      <c r="D89" s="276"/>
      <c r="E89" s="229">
        <f t="shared" si="3"/>
        <v>0</v>
      </c>
      <c r="F89" s="255"/>
      <c r="G89" s="255"/>
      <c r="H89" s="255"/>
      <c r="I89" s="255"/>
      <c r="J89" s="255"/>
      <c r="K89" s="255"/>
      <c r="L89" s="229">
        <f t="shared" si="4"/>
        <v>0</v>
      </c>
      <c r="M89" s="255"/>
      <c r="N89" s="255"/>
      <c r="O89" s="255"/>
      <c r="P89" s="255"/>
      <c r="Q89" s="255"/>
      <c r="R89" s="255"/>
      <c r="S89" s="546">
        <f t="shared" si="5"/>
        <v>0</v>
      </c>
      <c r="T89" s="255"/>
      <c r="U89" s="255"/>
      <c r="V89" s="255"/>
      <c r="W89" s="255"/>
    </row>
    <row r="90" spans="1:23">
      <c r="A90" t="str">
        <f>IF(ABS(E90)&gt;0,基础信息!$B$1,"")</f>
        <v/>
      </c>
      <c r="B90" s="255"/>
      <c r="C90" s="276"/>
      <c r="D90" s="276"/>
      <c r="E90" s="229">
        <f t="shared" si="3"/>
        <v>0</v>
      </c>
      <c r="F90" s="255"/>
      <c r="G90" s="255"/>
      <c r="H90" s="255"/>
      <c r="I90" s="255"/>
      <c r="J90" s="255"/>
      <c r="K90" s="255"/>
      <c r="L90" s="229">
        <f t="shared" si="4"/>
        <v>0</v>
      </c>
      <c r="M90" s="255"/>
      <c r="N90" s="255"/>
      <c r="O90" s="255"/>
      <c r="P90" s="255"/>
      <c r="Q90" s="255"/>
      <c r="R90" s="255"/>
      <c r="S90" s="546">
        <f t="shared" si="5"/>
        <v>0</v>
      </c>
      <c r="T90" s="255"/>
      <c r="U90" s="255"/>
      <c r="V90" s="255"/>
      <c r="W90" s="255"/>
    </row>
    <row r="91" spans="1:23">
      <c r="A91" t="str">
        <f>IF(ABS(E91)&gt;0,基础信息!$B$1,"")</f>
        <v/>
      </c>
      <c r="B91" s="255"/>
      <c r="C91" s="276"/>
      <c r="D91" s="276"/>
      <c r="E91" s="229">
        <f t="shared" si="3"/>
        <v>0</v>
      </c>
      <c r="F91" s="255"/>
      <c r="G91" s="255"/>
      <c r="H91" s="255"/>
      <c r="I91" s="255"/>
      <c r="J91" s="255"/>
      <c r="K91" s="255"/>
      <c r="L91" s="229">
        <f t="shared" si="4"/>
        <v>0</v>
      </c>
      <c r="M91" s="255"/>
      <c r="N91" s="255"/>
      <c r="O91" s="255"/>
      <c r="P91" s="255"/>
      <c r="Q91" s="255"/>
      <c r="R91" s="255"/>
      <c r="S91" s="546">
        <f t="shared" si="5"/>
        <v>0</v>
      </c>
      <c r="T91" s="255"/>
      <c r="U91" s="255"/>
      <c r="V91" s="255"/>
      <c r="W91" s="255"/>
    </row>
    <row r="92" spans="1:23">
      <c r="A92" t="str">
        <f>IF(ABS(E92)&gt;0,基础信息!$B$1,"")</f>
        <v/>
      </c>
      <c r="B92" s="255"/>
      <c r="C92" s="276"/>
      <c r="D92" s="276"/>
      <c r="E92" s="229">
        <f t="shared" si="3"/>
        <v>0</v>
      </c>
      <c r="F92" s="255"/>
      <c r="G92" s="255"/>
      <c r="H92" s="255"/>
      <c r="I92" s="255"/>
      <c r="J92" s="255"/>
      <c r="K92" s="255"/>
      <c r="L92" s="229">
        <f t="shared" si="4"/>
        <v>0</v>
      </c>
      <c r="M92" s="255"/>
      <c r="N92" s="255"/>
      <c r="O92" s="255"/>
      <c r="P92" s="255"/>
      <c r="Q92" s="255"/>
      <c r="R92" s="255"/>
      <c r="S92" s="546">
        <f t="shared" si="5"/>
        <v>0</v>
      </c>
      <c r="T92" s="255"/>
      <c r="U92" s="255"/>
      <c r="V92" s="255"/>
      <c r="W92" s="255"/>
    </row>
    <row r="93" spans="1:23">
      <c r="A93" t="str">
        <f>IF(ABS(E93)&gt;0,基础信息!$B$1,"")</f>
        <v/>
      </c>
      <c r="B93" s="255"/>
      <c r="C93" s="276"/>
      <c r="D93" s="276"/>
      <c r="E93" s="229">
        <f t="shared" si="3"/>
        <v>0</v>
      </c>
      <c r="F93" s="255"/>
      <c r="G93" s="255"/>
      <c r="H93" s="255"/>
      <c r="I93" s="255"/>
      <c r="J93" s="255"/>
      <c r="K93" s="255"/>
      <c r="L93" s="229">
        <f t="shared" si="4"/>
        <v>0</v>
      </c>
      <c r="M93" s="255"/>
      <c r="N93" s="255"/>
      <c r="O93" s="255"/>
      <c r="P93" s="255"/>
      <c r="Q93" s="255"/>
      <c r="R93" s="255"/>
      <c r="S93" s="546">
        <f t="shared" si="5"/>
        <v>0</v>
      </c>
      <c r="T93" s="255"/>
      <c r="U93" s="255"/>
      <c r="V93" s="255"/>
      <c r="W93" s="255"/>
    </row>
    <row r="94" spans="1:23">
      <c r="A94" t="str">
        <f>IF(ABS(E94)&gt;0,基础信息!$B$1,"")</f>
        <v/>
      </c>
      <c r="B94" s="255"/>
      <c r="C94" s="276"/>
      <c r="D94" s="276"/>
      <c r="E94" s="229">
        <f t="shared" si="3"/>
        <v>0</v>
      </c>
      <c r="F94" s="255"/>
      <c r="G94" s="255"/>
      <c r="H94" s="255"/>
      <c r="I94" s="255"/>
      <c r="J94" s="255"/>
      <c r="K94" s="255"/>
      <c r="L94" s="229">
        <f t="shared" si="4"/>
        <v>0</v>
      </c>
      <c r="M94" s="255"/>
      <c r="N94" s="255"/>
      <c r="O94" s="255"/>
      <c r="P94" s="255"/>
      <c r="Q94" s="255"/>
      <c r="R94" s="255"/>
      <c r="S94" s="546">
        <f t="shared" si="5"/>
        <v>0</v>
      </c>
      <c r="T94" s="255"/>
      <c r="U94" s="255"/>
      <c r="V94" s="255"/>
      <c r="W94" s="255"/>
    </row>
    <row r="95" spans="1:23">
      <c r="A95" t="str">
        <f>IF(ABS(E95)&gt;0,基础信息!$B$1,"")</f>
        <v/>
      </c>
      <c r="B95" s="255"/>
      <c r="C95" s="276"/>
      <c r="D95" s="276"/>
      <c r="E95" s="229">
        <f t="shared" si="3"/>
        <v>0</v>
      </c>
      <c r="F95" s="255"/>
      <c r="G95" s="255"/>
      <c r="H95" s="255"/>
      <c r="I95" s="255"/>
      <c r="J95" s="255"/>
      <c r="K95" s="255"/>
      <c r="L95" s="229">
        <f t="shared" si="4"/>
        <v>0</v>
      </c>
      <c r="M95" s="255"/>
      <c r="N95" s="255"/>
      <c r="O95" s="255"/>
      <c r="P95" s="255"/>
      <c r="Q95" s="255"/>
      <c r="R95" s="255"/>
      <c r="S95" s="546">
        <f t="shared" si="5"/>
        <v>0</v>
      </c>
      <c r="T95" s="255"/>
      <c r="U95" s="255"/>
      <c r="V95" s="255"/>
      <c r="W95" s="255"/>
    </row>
    <row r="96" spans="1:23">
      <c r="A96" t="str">
        <f>IF(ABS(E96)&gt;0,基础信息!$B$1,"")</f>
        <v/>
      </c>
      <c r="B96" s="255"/>
      <c r="C96" s="276"/>
      <c r="D96" s="276"/>
      <c r="E96" s="229">
        <f t="shared" si="3"/>
        <v>0</v>
      </c>
      <c r="F96" s="255"/>
      <c r="G96" s="255"/>
      <c r="H96" s="255"/>
      <c r="I96" s="255"/>
      <c r="J96" s="255"/>
      <c r="K96" s="255"/>
      <c r="L96" s="229">
        <f t="shared" si="4"/>
        <v>0</v>
      </c>
      <c r="M96" s="255"/>
      <c r="N96" s="255"/>
      <c r="O96" s="255"/>
      <c r="P96" s="255"/>
      <c r="Q96" s="255"/>
      <c r="R96" s="255"/>
      <c r="S96" s="546">
        <f t="shared" si="5"/>
        <v>0</v>
      </c>
      <c r="T96" s="255"/>
      <c r="U96" s="255"/>
      <c r="V96" s="255"/>
      <c r="W96" s="255"/>
    </row>
    <row r="97" spans="1:23">
      <c r="A97" t="str">
        <f>IF(ABS(E97)&gt;0,基础信息!$B$1,"")</f>
        <v/>
      </c>
      <c r="B97" s="255"/>
      <c r="C97" s="276"/>
      <c r="D97" s="276"/>
      <c r="E97" s="229">
        <f t="shared" si="3"/>
        <v>0</v>
      </c>
      <c r="F97" s="255"/>
      <c r="G97" s="255"/>
      <c r="H97" s="255"/>
      <c r="I97" s="255"/>
      <c r="J97" s="255"/>
      <c r="K97" s="255"/>
      <c r="L97" s="229">
        <f t="shared" si="4"/>
        <v>0</v>
      </c>
      <c r="M97" s="255"/>
      <c r="N97" s="255"/>
      <c r="O97" s="255"/>
      <c r="P97" s="255"/>
      <c r="Q97" s="255"/>
      <c r="R97" s="255"/>
      <c r="S97" s="546">
        <f t="shared" si="5"/>
        <v>0</v>
      </c>
      <c r="T97" s="255"/>
      <c r="U97" s="255"/>
      <c r="V97" s="255"/>
      <c r="W97" s="255"/>
    </row>
    <row r="98" spans="1:23">
      <c r="A98" t="str">
        <f>IF(ABS(E98)&gt;0,基础信息!$B$1,"")</f>
        <v/>
      </c>
      <c r="B98" s="255"/>
      <c r="C98" s="276"/>
      <c r="D98" s="276"/>
      <c r="E98" s="229">
        <f t="shared" si="3"/>
        <v>0</v>
      </c>
      <c r="F98" s="255"/>
      <c r="G98" s="255"/>
      <c r="H98" s="255"/>
      <c r="I98" s="255"/>
      <c r="J98" s="255"/>
      <c r="K98" s="255"/>
      <c r="L98" s="229">
        <f t="shared" si="4"/>
        <v>0</v>
      </c>
      <c r="M98" s="255"/>
      <c r="N98" s="255"/>
      <c r="O98" s="255"/>
      <c r="P98" s="255"/>
      <c r="Q98" s="255"/>
      <c r="R98" s="255"/>
      <c r="S98" s="546">
        <f t="shared" si="5"/>
        <v>0</v>
      </c>
      <c r="T98" s="255"/>
      <c r="U98" s="255"/>
      <c r="V98" s="255"/>
      <c r="W98" s="255"/>
    </row>
    <row r="99" spans="1:23">
      <c r="A99" t="str">
        <f>IF(ABS(E99)&gt;0,基础信息!$B$1,"")</f>
        <v/>
      </c>
      <c r="B99" s="255"/>
      <c r="C99" s="276"/>
      <c r="D99" s="276"/>
      <c r="E99" s="229">
        <f t="shared" si="3"/>
        <v>0</v>
      </c>
      <c r="F99" s="255"/>
      <c r="G99" s="255"/>
      <c r="H99" s="255"/>
      <c r="I99" s="255"/>
      <c r="J99" s="255"/>
      <c r="K99" s="255"/>
      <c r="L99" s="229">
        <f t="shared" si="4"/>
        <v>0</v>
      </c>
      <c r="M99" s="255"/>
      <c r="N99" s="255"/>
      <c r="O99" s="255"/>
      <c r="P99" s="255"/>
      <c r="Q99" s="255"/>
      <c r="R99" s="255"/>
      <c r="S99" s="546">
        <f t="shared" si="5"/>
        <v>0</v>
      </c>
      <c r="T99" s="255"/>
      <c r="U99" s="255"/>
      <c r="V99" s="255"/>
      <c r="W99" s="255"/>
    </row>
    <row r="100" spans="1:23">
      <c r="A100" t="str">
        <f>IF(ABS(E100)&gt;0,基础信息!$B$1,"")</f>
        <v/>
      </c>
      <c r="B100" s="255"/>
      <c r="C100" s="276"/>
      <c r="D100" s="276"/>
      <c r="E100" s="229">
        <f t="shared" si="3"/>
        <v>0</v>
      </c>
      <c r="F100" s="255"/>
      <c r="G100" s="255"/>
      <c r="H100" s="255"/>
      <c r="I100" s="255"/>
      <c r="J100" s="255"/>
      <c r="K100" s="255"/>
      <c r="L100" s="229">
        <f t="shared" si="4"/>
        <v>0</v>
      </c>
      <c r="M100" s="255"/>
      <c r="N100" s="255"/>
      <c r="O100" s="255"/>
      <c r="P100" s="255"/>
      <c r="Q100" s="255"/>
      <c r="R100" s="255"/>
      <c r="S100" s="546">
        <f t="shared" si="5"/>
        <v>0</v>
      </c>
      <c r="T100" s="255"/>
      <c r="U100" s="255"/>
      <c r="V100" s="255"/>
      <c r="W100" s="255"/>
    </row>
    <row r="101" spans="1:23">
      <c r="A101" t="str">
        <f>IF(ABS(E101)&gt;0,基础信息!$B$1,"")</f>
        <v/>
      </c>
      <c r="B101" s="255"/>
      <c r="C101" s="276"/>
      <c r="D101" s="276"/>
      <c r="E101" s="229">
        <f t="shared" si="3"/>
        <v>0</v>
      </c>
      <c r="F101" s="255"/>
      <c r="G101" s="255"/>
      <c r="H101" s="255"/>
      <c r="I101" s="255"/>
      <c r="J101" s="255"/>
      <c r="K101" s="255"/>
      <c r="L101" s="229">
        <f t="shared" si="4"/>
        <v>0</v>
      </c>
      <c r="M101" s="255"/>
      <c r="N101" s="255"/>
      <c r="O101" s="255"/>
      <c r="P101" s="255"/>
      <c r="Q101" s="255"/>
      <c r="R101" s="255"/>
      <c r="S101" s="546">
        <f t="shared" si="5"/>
        <v>0</v>
      </c>
      <c r="T101" s="255"/>
      <c r="U101" s="255"/>
      <c r="V101" s="255"/>
      <c r="W101" s="255"/>
    </row>
    <row r="102" spans="1:23">
      <c r="A102" t="str">
        <f>IF(ABS(E102)&gt;0,基础信息!$B$1,"")</f>
        <v/>
      </c>
      <c r="B102" s="255"/>
      <c r="C102" s="276"/>
      <c r="D102" s="276"/>
      <c r="E102" s="229">
        <f t="shared" si="3"/>
        <v>0</v>
      </c>
      <c r="F102" s="255"/>
      <c r="G102" s="255"/>
      <c r="H102" s="255"/>
      <c r="I102" s="255"/>
      <c r="J102" s="255"/>
      <c r="K102" s="255"/>
      <c r="L102" s="229">
        <f t="shared" si="4"/>
        <v>0</v>
      </c>
      <c r="M102" s="255"/>
      <c r="N102" s="255"/>
      <c r="O102" s="255"/>
      <c r="P102" s="255"/>
      <c r="Q102" s="255"/>
      <c r="R102" s="255"/>
      <c r="S102" s="546">
        <f t="shared" si="5"/>
        <v>0</v>
      </c>
      <c r="T102" s="255"/>
      <c r="U102" s="255"/>
      <c r="V102" s="255"/>
      <c r="W102"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068A89A-E915-4CAA-848C-DDBFAF3A02D1}">
          <x14:formula1>
            <xm:f>分类表!$10:$10</xm:f>
          </x14:formula1>
          <xm:sqref>D2:D102</xm:sqref>
        </x14:dataValidation>
        <x14:dataValidation type="list" allowBlank="1" showInputMessage="1" showErrorMessage="1" xr:uid="{DF3577CA-3000-449B-99D4-7B46C3808732}">
          <x14:formula1>
            <xm:f>分类表!$9:$9</xm:f>
          </x14:formula1>
          <xm:sqref>C2:C102</xm:sqref>
        </x14:dataValidation>
      </x14:dataValidations>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codeName="Sheet115">
    <tabColor rgb="FFFFC000"/>
  </sheetPr>
  <dimension ref="A1:C5"/>
  <sheetViews>
    <sheetView workbookViewId="0">
      <selection activeCell="H29" sqref="H29"/>
    </sheetView>
  </sheetViews>
  <sheetFormatPr defaultRowHeight="13.8"/>
  <cols>
    <col min="1" max="1" width="24.88671875" style="18" bestFit="1" customWidth="1"/>
    <col min="2" max="3" width="9.5546875" style="18" bestFit="1" customWidth="1"/>
    <col min="4" max="16384" width="8.88671875" style="18"/>
  </cols>
  <sheetData>
    <row r="1" spans="1:3">
      <c r="A1" s="18" t="s">
        <v>28</v>
      </c>
      <c r="B1" s="18" t="s">
        <v>390</v>
      </c>
      <c r="C1" s="18" t="s">
        <v>578</v>
      </c>
    </row>
    <row r="2" spans="1:3">
      <c r="A2" s="246"/>
      <c r="B2" s="246"/>
      <c r="C2" s="246"/>
    </row>
    <row r="3" spans="1:3">
      <c r="A3" s="299"/>
      <c r="B3" s="246"/>
      <c r="C3" s="246"/>
    </row>
    <row r="4" spans="1:3">
      <c r="A4" s="246"/>
      <c r="B4" s="246"/>
      <c r="C4" s="246"/>
    </row>
    <row r="5" spans="1:3">
      <c r="A5" s="18" t="s">
        <v>204</v>
      </c>
      <c r="B5" s="18">
        <f>SUM(B2:B4)</f>
        <v>0</v>
      </c>
      <c r="C5" s="18">
        <f>SUM(C2:C4)</f>
        <v>0</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3E41-3007-45C2-9D02-7835F72458F8}">
  <sheetPr codeName="Sheet81">
    <tabColor rgb="FFFFC000"/>
  </sheetPr>
  <dimension ref="A1:E4"/>
  <sheetViews>
    <sheetView workbookViewId="0">
      <selection activeCell="H26" sqref="H26"/>
    </sheetView>
  </sheetViews>
  <sheetFormatPr defaultRowHeight="13.8"/>
  <cols>
    <col min="1" max="1" width="6.6640625" bestFit="1" customWidth="1"/>
    <col min="2" max="2" width="9.5546875" bestFit="1" customWidth="1"/>
    <col min="3" max="3" width="5.5546875" bestFit="1" customWidth="1"/>
    <col min="4" max="4" width="13.88671875" bestFit="1" customWidth="1"/>
    <col min="5" max="5" width="27.109375" bestFit="1" customWidth="1"/>
  </cols>
  <sheetData>
    <row r="1" spans="1:5">
      <c r="A1" t="s">
        <v>95</v>
      </c>
      <c r="B1" t="s">
        <v>245</v>
      </c>
      <c r="C1" t="s">
        <v>243</v>
      </c>
      <c r="D1" t="s">
        <v>291</v>
      </c>
      <c r="E1" t="s">
        <v>290</v>
      </c>
    </row>
    <row r="2" spans="1:5">
      <c r="A2" s="255"/>
      <c r="B2" s="255"/>
      <c r="C2" s="255"/>
      <c r="D2" s="255"/>
      <c r="E2" s="255"/>
    </row>
    <row r="3" spans="1:5">
      <c r="A3" s="255"/>
      <c r="B3" s="255"/>
      <c r="C3" s="255"/>
      <c r="D3" s="255"/>
      <c r="E3" s="255"/>
    </row>
    <row r="4" spans="1:5">
      <c r="A4" t="s">
        <v>262</v>
      </c>
      <c r="B4">
        <f>SUM(B2:B3)</f>
        <v>0</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2A90-4137-460D-BAD2-9E3282942028}">
  <sheetPr codeName="Sheet116"/>
  <dimension ref="A1:Y185"/>
  <sheetViews>
    <sheetView workbookViewId="0">
      <pane xSplit="2" ySplit="1" topLeftCell="H2" activePane="bottomRight" state="frozen"/>
      <selection pane="topRight" activeCell="C1" sqref="C1"/>
      <selection pane="bottomLeft" activeCell="A2" sqref="A2"/>
      <selection pane="bottomRight" activeCell="A27" sqref="A27"/>
    </sheetView>
  </sheetViews>
  <sheetFormatPr defaultRowHeight="13.8"/>
  <cols>
    <col min="1" max="1" width="13.88671875" style="229" bestFit="1" customWidth="1"/>
    <col min="2" max="2" width="16.109375" style="229" bestFit="1" customWidth="1"/>
    <col min="3" max="3" width="18.33203125" style="229" bestFit="1" customWidth="1"/>
    <col min="4" max="4" width="7.5546875" style="229" bestFit="1" customWidth="1"/>
    <col min="5" max="5" width="13.88671875" style="229" bestFit="1" customWidth="1"/>
    <col min="6" max="6" width="32.33203125" style="229" customWidth="1"/>
    <col min="7" max="7" width="19.88671875" style="229" customWidth="1"/>
    <col min="8" max="8" width="9.5546875" style="229" bestFit="1" customWidth="1"/>
    <col min="9" max="9" width="13.88671875" style="229" bestFit="1" customWidth="1"/>
    <col min="10" max="10" width="8.5546875" style="229" bestFit="1" customWidth="1"/>
    <col min="11" max="14" width="7.5546875" style="229" bestFit="1" customWidth="1"/>
    <col min="15" max="15" width="8.5546875" style="229" bestFit="1" customWidth="1"/>
    <col min="16" max="16" width="18.33203125" style="229" bestFit="1" customWidth="1"/>
    <col min="17" max="17" width="8.5546875" style="229" bestFit="1" customWidth="1"/>
    <col min="18" max="21" width="7.5546875" style="229" bestFit="1" customWidth="1"/>
    <col min="22" max="22" width="8.5546875" style="229" bestFit="1" customWidth="1"/>
    <col min="23" max="23" width="7.6640625" style="229" bestFit="1" customWidth="1"/>
    <col min="24" max="24" width="13.88671875" style="229" bestFit="1" customWidth="1"/>
    <col min="25" max="16384" width="8.88671875" style="229"/>
  </cols>
  <sheetData>
    <row r="1" spans="1:25" s="519" customFormat="1" ht="41.4">
      <c r="A1" s="519" t="s">
        <v>1976</v>
      </c>
      <c r="B1" s="519" t="s">
        <v>3097</v>
      </c>
      <c r="C1" s="592" t="s">
        <v>2344</v>
      </c>
      <c r="D1" s="519" t="s">
        <v>265</v>
      </c>
      <c r="E1" s="519" t="s">
        <v>218</v>
      </c>
      <c r="F1" s="519" t="s">
        <v>3400</v>
      </c>
      <c r="G1" s="519" t="s">
        <v>3401</v>
      </c>
      <c r="H1" s="519" t="s">
        <v>477</v>
      </c>
      <c r="I1" s="519" t="s">
        <v>3732</v>
      </c>
      <c r="J1" s="519" t="s">
        <v>3720</v>
      </c>
      <c r="K1" s="519" t="s">
        <v>3721</v>
      </c>
      <c r="L1" s="519" t="s">
        <v>3722</v>
      </c>
      <c r="M1" s="519" t="s">
        <v>3723</v>
      </c>
      <c r="N1" s="519" t="s">
        <v>3724</v>
      </c>
      <c r="O1" s="519" t="s">
        <v>3725</v>
      </c>
      <c r="P1" s="519" t="s">
        <v>3402</v>
      </c>
      <c r="Q1" s="519" t="s">
        <v>3726</v>
      </c>
      <c r="R1" s="519" t="s">
        <v>3727</v>
      </c>
      <c r="S1" s="519" t="s">
        <v>3728</v>
      </c>
      <c r="T1" s="519" t="s">
        <v>3729</v>
      </c>
      <c r="U1" s="519" t="s">
        <v>3730</v>
      </c>
      <c r="V1" s="519" t="s">
        <v>3731</v>
      </c>
      <c r="W1" s="519" t="s">
        <v>3399</v>
      </c>
      <c r="X1" s="519" t="s">
        <v>291</v>
      </c>
      <c r="Y1" s="519" t="s">
        <v>2351</v>
      </c>
    </row>
    <row r="2" spans="1:25">
      <c r="A2" s="229" t="str">
        <f>IF(OR((ABS(D2)&gt;0),(ABS(I2)&gt;0)),基础信息!$B$1,"")</f>
        <v/>
      </c>
      <c r="C2" s="547"/>
      <c r="I2" s="229">
        <f>D2+F2+G2-H2</f>
        <v>0</v>
      </c>
      <c r="P2" s="229">
        <f>SUM(Q2:V2)</f>
        <v>0</v>
      </c>
      <c r="W2" s="229">
        <f>I2-P2</f>
        <v>0</v>
      </c>
      <c r="Y2" s="229">
        <f>SUM(J2:O2)-I2</f>
        <v>0</v>
      </c>
    </row>
    <row r="3" spans="1:25">
      <c r="A3" s="229" t="str">
        <f>IF(OR((ABS(D3)&gt;0),(ABS(I3)&gt;0)),基础信息!$B$1,"")</f>
        <v/>
      </c>
      <c r="C3" s="547"/>
      <c r="I3" s="229">
        <f t="shared" ref="I3:I66" si="0">D3+F3+G3-H3</f>
        <v>0</v>
      </c>
      <c r="P3" s="229">
        <f t="shared" ref="P3:P66" si="1">SUM(Q3:V3)</f>
        <v>0</v>
      </c>
      <c r="W3" s="229">
        <f t="shared" ref="W3:W66" si="2">I3-P3</f>
        <v>0</v>
      </c>
      <c r="Y3" s="229">
        <f t="shared" ref="Y3:Y66" si="3">SUM(J3:O3)-I3</f>
        <v>0</v>
      </c>
    </row>
    <row r="4" spans="1:25">
      <c r="A4" s="229" t="str">
        <f>IF(OR((ABS(D4)&gt;0),(ABS(I4)&gt;0)),基础信息!$B$1,"")</f>
        <v/>
      </c>
      <c r="C4" s="547"/>
      <c r="I4" s="229">
        <f t="shared" si="0"/>
        <v>0</v>
      </c>
      <c r="P4" s="229">
        <f t="shared" si="1"/>
        <v>0</v>
      </c>
      <c r="W4" s="229">
        <f t="shared" si="2"/>
        <v>0</v>
      </c>
      <c r="Y4" s="229">
        <f t="shared" si="3"/>
        <v>0</v>
      </c>
    </row>
    <row r="5" spans="1:25">
      <c r="A5" s="229" t="str">
        <f>IF(OR((ABS(D5)&gt;0),(ABS(I5)&gt;0)),基础信息!$B$1,"")</f>
        <v/>
      </c>
      <c r="C5" s="547"/>
      <c r="I5" s="229">
        <f t="shared" si="0"/>
        <v>0</v>
      </c>
      <c r="P5" s="229">
        <f t="shared" si="1"/>
        <v>0</v>
      </c>
      <c r="W5" s="229">
        <f t="shared" si="2"/>
        <v>0</v>
      </c>
      <c r="Y5" s="229">
        <f t="shared" si="3"/>
        <v>0</v>
      </c>
    </row>
    <row r="6" spans="1:25">
      <c r="A6" s="229" t="str">
        <f>IF(OR((ABS(D6)&gt;0),(ABS(I6)&gt;0)),基础信息!$B$1,"")</f>
        <v/>
      </c>
      <c r="C6" s="547"/>
      <c r="I6" s="229">
        <f t="shared" si="0"/>
        <v>0</v>
      </c>
      <c r="P6" s="229">
        <f t="shared" si="1"/>
        <v>0</v>
      </c>
      <c r="W6" s="229">
        <f t="shared" si="2"/>
        <v>0</v>
      </c>
      <c r="Y6" s="229">
        <f t="shared" si="3"/>
        <v>0</v>
      </c>
    </row>
    <row r="7" spans="1:25">
      <c r="A7" s="229" t="str">
        <f>IF(OR((ABS(D7)&gt;0),(ABS(I7)&gt;0)),基础信息!$B$1,"")</f>
        <v/>
      </c>
      <c r="C7" s="547"/>
      <c r="I7" s="229">
        <f t="shared" si="0"/>
        <v>0</v>
      </c>
      <c r="P7" s="229">
        <f t="shared" si="1"/>
        <v>0</v>
      </c>
      <c r="W7" s="229">
        <f t="shared" si="2"/>
        <v>0</v>
      </c>
      <c r="Y7" s="229">
        <f t="shared" si="3"/>
        <v>0</v>
      </c>
    </row>
    <row r="8" spans="1:25">
      <c r="A8" s="229" t="str">
        <f>IF(OR((ABS(D8)&gt;0),(ABS(I8)&gt;0)),基础信息!$B$1,"")</f>
        <v/>
      </c>
      <c r="C8" s="547"/>
      <c r="I8" s="229">
        <f t="shared" si="0"/>
        <v>0</v>
      </c>
      <c r="P8" s="229">
        <f t="shared" si="1"/>
        <v>0</v>
      </c>
      <c r="W8" s="229">
        <f t="shared" si="2"/>
        <v>0</v>
      </c>
      <c r="Y8" s="229">
        <f t="shared" si="3"/>
        <v>0</v>
      </c>
    </row>
    <row r="9" spans="1:25">
      <c r="A9" s="229" t="str">
        <f>IF(OR((ABS(D9)&gt;0),(ABS(I9)&gt;0)),基础信息!$B$1,"")</f>
        <v/>
      </c>
      <c r="C9" s="547"/>
      <c r="I9" s="229">
        <f t="shared" si="0"/>
        <v>0</v>
      </c>
      <c r="P9" s="229">
        <f t="shared" si="1"/>
        <v>0</v>
      </c>
      <c r="W9" s="229">
        <f t="shared" si="2"/>
        <v>0</v>
      </c>
      <c r="Y9" s="229">
        <f t="shared" si="3"/>
        <v>0</v>
      </c>
    </row>
    <row r="10" spans="1:25">
      <c r="A10" s="229" t="str">
        <f>IF(OR((ABS(D10)&gt;0),(ABS(I10)&gt;0)),基础信息!$B$1,"")</f>
        <v/>
      </c>
      <c r="C10" s="547"/>
      <c r="I10" s="229">
        <f t="shared" si="0"/>
        <v>0</v>
      </c>
      <c r="P10" s="229">
        <f t="shared" si="1"/>
        <v>0</v>
      </c>
      <c r="W10" s="229">
        <f t="shared" si="2"/>
        <v>0</v>
      </c>
      <c r="Y10" s="229">
        <f t="shared" si="3"/>
        <v>0</v>
      </c>
    </row>
    <row r="11" spans="1:25">
      <c r="A11" s="229" t="str">
        <f>IF(OR((ABS(D11)&gt;0),(ABS(I11)&gt;0)),基础信息!$B$1,"")</f>
        <v/>
      </c>
      <c r="C11" s="547"/>
      <c r="I11" s="229">
        <f t="shared" si="0"/>
        <v>0</v>
      </c>
      <c r="P11" s="229">
        <f t="shared" si="1"/>
        <v>0</v>
      </c>
      <c r="W11" s="229">
        <f t="shared" si="2"/>
        <v>0</v>
      </c>
      <c r="Y11" s="229">
        <f t="shared" si="3"/>
        <v>0</v>
      </c>
    </row>
    <row r="12" spans="1:25">
      <c r="A12" s="229" t="str">
        <f>IF(OR((ABS(D12)&gt;0),(ABS(I12)&gt;0)),基础信息!$B$1,"")</f>
        <v/>
      </c>
      <c r="C12" s="547"/>
      <c r="I12" s="229">
        <f t="shared" si="0"/>
        <v>0</v>
      </c>
      <c r="P12" s="229">
        <f t="shared" si="1"/>
        <v>0</v>
      </c>
      <c r="W12" s="229">
        <f t="shared" si="2"/>
        <v>0</v>
      </c>
      <c r="Y12" s="229">
        <f t="shared" si="3"/>
        <v>0</v>
      </c>
    </row>
    <row r="13" spans="1:25">
      <c r="A13" s="229" t="str">
        <f>IF(OR((ABS(D13)&gt;0),(ABS(I13)&gt;0)),基础信息!$B$1,"")</f>
        <v/>
      </c>
      <c r="C13" s="547"/>
      <c r="I13" s="229">
        <f t="shared" si="0"/>
        <v>0</v>
      </c>
      <c r="P13" s="229">
        <f t="shared" si="1"/>
        <v>0</v>
      </c>
      <c r="W13" s="229">
        <f t="shared" si="2"/>
        <v>0</v>
      </c>
      <c r="Y13" s="229">
        <f t="shared" si="3"/>
        <v>0</v>
      </c>
    </row>
    <row r="14" spans="1:25">
      <c r="A14" s="229" t="str">
        <f>IF(OR((ABS(D14)&gt;0),(ABS(I14)&gt;0)),基础信息!$B$1,"")</f>
        <v/>
      </c>
      <c r="C14" s="547"/>
      <c r="I14" s="229">
        <f t="shared" si="0"/>
        <v>0</v>
      </c>
      <c r="P14" s="229">
        <f t="shared" si="1"/>
        <v>0</v>
      </c>
      <c r="W14" s="229">
        <f t="shared" si="2"/>
        <v>0</v>
      </c>
      <c r="Y14" s="229">
        <f t="shared" si="3"/>
        <v>0</v>
      </c>
    </row>
    <row r="15" spans="1:25">
      <c r="A15" s="229" t="str">
        <f>IF(OR((ABS(D15)&gt;0),(ABS(I15)&gt;0)),基础信息!$B$1,"")</f>
        <v/>
      </c>
      <c r="C15" s="547"/>
      <c r="I15" s="229">
        <f t="shared" si="0"/>
        <v>0</v>
      </c>
      <c r="P15" s="229">
        <f t="shared" si="1"/>
        <v>0</v>
      </c>
      <c r="W15" s="229">
        <f t="shared" si="2"/>
        <v>0</v>
      </c>
      <c r="Y15" s="229">
        <f t="shared" si="3"/>
        <v>0</v>
      </c>
    </row>
    <row r="16" spans="1:25">
      <c r="A16" s="229" t="str">
        <f>IF(OR((ABS(D16)&gt;0),(ABS(I16)&gt;0)),基础信息!$B$1,"")</f>
        <v/>
      </c>
      <c r="C16" s="547"/>
      <c r="I16" s="229">
        <f t="shared" si="0"/>
        <v>0</v>
      </c>
      <c r="P16" s="229">
        <f t="shared" si="1"/>
        <v>0</v>
      </c>
      <c r="W16" s="229">
        <f t="shared" si="2"/>
        <v>0</v>
      </c>
      <c r="Y16" s="229">
        <f t="shared" si="3"/>
        <v>0</v>
      </c>
    </row>
    <row r="17" spans="1:25">
      <c r="A17" s="229" t="str">
        <f>IF(OR((ABS(D17)&gt;0),(ABS(I17)&gt;0)),基础信息!$B$1,"")</f>
        <v/>
      </c>
      <c r="C17" s="547"/>
      <c r="I17" s="229">
        <f t="shared" si="0"/>
        <v>0</v>
      </c>
      <c r="P17" s="229">
        <f t="shared" si="1"/>
        <v>0</v>
      </c>
      <c r="W17" s="229">
        <f t="shared" si="2"/>
        <v>0</v>
      </c>
      <c r="Y17" s="229">
        <f t="shared" si="3"/>
        <v>0</v>
      </c>
    </row>
    <row r="18" spans="1:25">
      <c r="A18" s="229" t="str">
        <f>IF(OR((ABS(D18)&gt;0),(ABS(I18)&gt;0)),基础信息!$B$1,"")</f>
        <v/>
      </c>
      <c r="C18" s="547"/>
      <c r="I18" s="229">
        <f t="shared" si="0"/>
        <v>0</v>
      </c>
      <c r="P18" s="229">
        <f t="shared" si="1"/>
        <v>0</v>
      </c>
      <c r="W18" s="229">
        <f t="shared" si="2"/>
        <v>0</v>
      </c>
      <c r="Y18" s="229">
        <f t="shared" si="3"/>
        <v>0</v>
      </c>
    </row>
    <row r="19" spans="1:25">
      <c r="A19" s="229" t="str">
        <f>IF(OR((ABS(D19)&gt;0),(ABS(I19)&gt;0)),基础信息!$B$1,"")</f>
        <v/>
      </c>
      <c r="C19" s="547"/>
      <c r="I19" s="229">
        <f t="shared" si="0"/>
        <v>0</v>
      </c>
      <c r="P19" s="229">
        <f t="shared" si="1"/>
        <v>0</v>
      </c>
      <c r="W19" s="229">
        <f t="shared" si="2"/>
        <v>0</v>
      </c>
      <c r="Y19" s="229">
        <f t="shared" si="3"/>
        <v>0</v>
      </c>
    </row>
    <row r="20" spans="1:25">
      <c r="A20" s="229" t="str">
        <f>IF(OR((ABS(D20)&gt;0),(ABS(I20)&gt;0)),基础信息!$B$1,"")</f>
        <v/>
      </c>
      <c r="C20" s="547"/>
      <c r="I20" s="229">
        <f t="shared" si="0"/>
        <v>0</v>
      </c>
      <c r="P20" s="229">
        <f t="shared" si="1"/>
        <v>0</v>
      </c>
      <c r="W20" s="229">
        <f t="shared" si="2"/>
        <v>0</v>
      </c>
      <c r="Y20" s="229">
        <f t="shared" si="3"/>
        <v>0</v>
      </c>
    </row>
    <row r="21" spans="1:25">
      <c r="A21" s="229" t="str">
        <f>IF(OR((ABS(D21)&gt;0),(ABS(I21)&gt;0)),基础信息!$B$1,"")</f>
        <v/>
      </c>
      <c r="C21" s="547"/>
      <c r="I21" s="229">
        <f t="shared" si="0"/>
        <v>0</v>
      </c>
      <c r="P21" s="229">
        <f t="shared" si="1"/>
        <v>0</v>
      </c>
      <c r="W21" s="229">
        <f t="shared" si="2"/>
        <v>0</v>
      </c>
      <c r="Y21" s="229">
        <f t="shared" si="3"/>
        <v>0</v>
      </c>
    </row>
    <row r="22" spans="1:25">
      <c r="A22" s="229" t="str">
        <f>IF(OR((ABS(D22)&gt;0),(ABS(I22)&gt;0)),基础信息!$B$1,"")</f>
        <v/>
      </c>
      <c r="C22" s="547"/>
      <c r="I22" s="229">
        <f t="shared" si="0"/>
        <v>0</v>
      </c>
      <c r="P22" s="229">
        <f t="shared" si="1"/>
        <v>0</v>
      </c>
      <c r="W22" s="229">
        <f t="shared" si="2"/>
        <v>0</v>
      </c>
      <c r="Y22" s="229">
        <f t="shared" si="3"/>
        <v>0</v>
      </c>
    </row>
    <row r="23" spans="1:25">
      <c r="A23" s="229" t="str">
        <f>IF(OR((ABS(D23)&gt;0),(ABS(I23)&gt;0)),基础信息!$B$1,"")</f>
        <v/>
      </c>
      <c r="C23" s="547"/>
      <c r="I23" s="229">
        <f t="shared" si="0"/>
        <v>0</v>
      </c>
      <c r="P23" s="229">
        <f t="shared" si="1"/>
        <v>0</v>
      </c>
      <c r="W23" s="229">
        <f t="shared" si="2"/>
        <v>0</v>
      </c>
      <c r="Y23" s="229">
        <f t="shared" si="3"/>
        <v>0</v>
      </c>
    </row>
    <row r="24" spans="1:25">
      <c r="A24" s="229" t="str">
        <f>IF(OR((ABS(D24)&gt;0),(ABS(I24)&gt;0)),基础信息!$B$1,"")</f>
        <v/>
      </c>
      <c r="C24" s="547"/>
      <c r="I24" s="229">
        <f t="shared" si="0"/>
        <v>0</v>
      </c>
      <c r="P24" s="229">
        <f t="shared" si="1"/>
        <v>0</v>
      </c>
      <c r="W24" s="229">
        <f t="shared" si="2"/>
        <v>0</v>
      </c>
      <c r="Y24" s="229">
        <f t="shared" si="3"/>
        <v>0</v>
      </c>
    </row>
    <row r="25" spans="1:25">
      <c r="A25" s="229" t="str">
        <f>IF(OR((ABS(D25)&gt;0),(ABS(I25)&gt;0)),基础信息!$B$1,"")</f>
        <v/>
      </c>
      <c r="I25" s="229">
        <f t="shared" si="0"/>
        <v>0</v>
      </c>
      <c r="P25" s="229">
        <f t="shared" si="1"/>
        <v>0</v>
      </c>
      <c r="W25" s="229">
        <f t="shared" si="2"/>
        <v>0</v>
      </c>
      <c r="Y25" s="229">
        <f t="shared" si="3"/>
        <v>0</v>
      </c>
    </row>
    <row r="26" spans="1:25">
      <c r="A26" s="229" t="str">
        <f>IF(OR((ABS(D26)&gt;0),(ABS(I26)&gt;0)),基础信息!$B$1,"")</f>
        <v/>
      </c>
      <c r="I26" s="229">
        <f t="shared" si="0"/>
        <v>0</v>
      </c>
      <c r="P26" s="229">
        <f t="shared" si="1"/>
        <v>0</v>
      </c>
      <c r="W26" s="229">
        <f t="shared" si="2"/>
        <v>0</v>
      </c>
      <c r="Y26" s="229">
        <f t="shared" si="3"/>
        <v>0</v>
      </c>
    </row>
    <row r="27" spans="1:25">
      <c r="A27" s="229" t="str">
        <f>IF(OR((ABS(D27)&gt;0),(ABS(I27)&gt;0)),基础信息!$B$1,"")</f>
        <v/>
      </c>
      <c r="I27" s="229">
        <f t="shared" si="0"/>
        <v>0</v>
      </c>
      <c r="P27" s="229">
        <f t="shared" si="1"/>
        <v>0</v>
      </c>
      <c r="W27" s="229">
        <f t="shared" si="2"/>
        <v>0</v>
      </c>
      <c r="Y27" s="229">
        <f t="shared" si="3"/>
        <v>0</v>
      </c>
    </row>
    <row r="28" spans="1:25">
      <c r="A28" s="229" t="str">
        <f>IF(OR((ABS(D28)&gt;0),(ABS(I28)&gt;0)),基础信息!$B$1,"")</f>
        <v/>
      </c>
      <c r="I28" s="229">
        <f t="shared" si="0"/>
        <v>0</v>
      </c>
      <c r="P28" s="229">
        <f t="shared" si="1"/>
        <v>0</v>
      </c>
      <c r="W28" s="229">
        <f t="shared" si="2"/>
        <v>0</v>
      </c>
      <c r="Y28" s="229">
        <f t="shared" si="3"/>
        <v>0</v>
      </c>
    </row>
    <row r="29" spans="1:25">
      <c r="A29" s="229" t="str">
        <f>IF(OR((ABS(D29)&gt;0),(ABS(I29)&gt;0)),基础信息!$B$1,"")</f>
        <v/>
      </c>
      <c r="I29" s="229">
        <f t="shared" si="0"/>
        <v>0</v>
      </c>
      <c r="P29" s="229">
        <f t="shared" si="1"/>
        <v>0</v>
      </c>
      <c r="W29" s="229">
        <f t="shared" si="2"/>
        <v>0</v>
      </c>
      <c r="Y29" s="229">
        <f t="shared" si="3"/>
        <v>0</v>
      </c>
    </row>
    <row r="30" spans="1:25">
      <c r="A30" s="229" t="str">
        <f>IF(OR((ABS(D30)&gt;0),(ABS(I30)&gt;0)),基础信息!$B$1,"")</f>
        <v/>
      </c>
      <c r="I30" s="229">
        <f t="shared" si="0"/>
        <v>0</v>
      </c>
      <c r="P30" s="229">
        <f t="shared" si="1"/>
        <v>0</v>
      </c>
      <c r="W30" s="229">
        <f t="shared" si="2"/>
        <v>0</v>
      </c>
      <c r="Y30" s="229">
        <f t="shared" si="3"/>
        <v>0</v>
      </c>
    </row>
    <row r="31" spans="1:25">
      <c r="A31" s="229" t="str">
        <f>IF(OR((ABS(D31)&gt;0),(ABS(I31)&gt;0)),基础信息!$B$1,"")</f>
        <v/>
      </c>
      <c r="I31" s="229">
        <f t="shared" si="0"/>
        <v>0</v>
      </c>
      <c r="P31" s="229">
        <f t="shared" si="1"/>
        <v>0</v>
      </c>
      <c r="W31" s="229">
        <f t="shared" si="2"/>
        <v>0</v>
      </c>
      <c r="Y31" s="229">
        <f t="shared" si="3"/>
        <v>0</v>
      </c>
    </row>
    <row r="32" spans="1:25">
      <c r="A32" s="229" t="str">
        <f>IF(OR((ABS(D32)&gt;0),(ABS(I32)&gt;0)),基础信息!$B$1,"")</f>
        <v/>
      </c>
      <c r="I32" s="229">
        <f t="shared" si="0"/>
        <v>0</v>
      </c>
      <c r="P32" s="229">
        <f t="shared" si="1"/>
        <v>0</v>
      </c>
      <c r="W32" s="229">
        <f t="shared" si="2"/>
        <v>0</v>
      </c>
      <c r="Y32" s="229">
        <f t="shared" si="3"/>
        <v>0</v>
      </c>
    </row>
    <row r="33" spans="1:25">
      <c r="A33" s="229" t="str">
        <f>IF(OR((ABS(D33)&gt;0),(ABS(I33)&gt;0)),基础信息!$B$1,"")</f>
        <v/>
      </c>
      <c r="I33" s="229">
        <f t="shared" si="0"/>
        <v>0</v>
      </c>
      <c r="P33" s="229">
        <f t="shared" si="1"/>
        <v>0</v>
      </c>
      <c r="W33" s="229">
        <f t="shared" si="2"/>
        <v>0</v>
      </c>
      <c r="Y33" s="229">
        <f t="shared" si="3"/>
        <v>0</v>
      </c>
    </row>
    <row r="34" spans="1:25">
      <c r="A34" s="229" t="str">
        <f>IF(OR((ABS(D34)&gt;0),(ABS(I34)&gt;0)),基础信息!$B$1,"")</f>
        <v/>
      </c>
      <c r="I34" s="229">
        <f t="shared" si="0"/>
        <v>0</v>
      </c>
      <c r="P34" s="229">
        <f t="shared" si="1"/>
        <v>0</v>
      </c>
      <c r="W34" s="229">
        <f t="shared" si="2"/>
        <v>0</v>
      </c>
      <c r="Y34" s="229">
        <f t="shared" si="3"/>
        <v>0</v>
      </c>
    </row>
    <row r="35" spans="1:25">
      <c r="A35" s="229" t="str">
        <f>IF(OR((ABS(D35)&gt;0),(ABS(I35)&gt;0)),基础信息!$B$1,"")</f>
        <v/>
      </c>
      <c r="I35" s="229">
        <f t="shared" si="0"/>
        <v>0</v>
      </c>
      <c r="P35" s="229">
        <f t="shared" si="1"/>
        <v>0</v>
      </c>
      <c r="W35" s="229">
        <f t="shared" si="2"/>
        <v>0</v>
      </c>
      <c r="Y35" s="229">
        <f t="shared" si="3"/>
        <v>0</v>
      </c>
    </row>
    <row r="36" spans="1:25">
      <c r="A36" s="229" t="str">
        <f>IF(OR((ABS(D36)&gt;0),(ABS(I36)&gt;0)),基础信息!$B$1,"")</f>
        <v/>
      </c>
      <c r="I36" s="229">
        <f t="shared" si="0"/>
        <v>0</v>
      </c>
      <c r="P36" s="229">
        <f t="shared" si="1"/>
        <v>0</v>
      </c>
      <c r="W36" s="229">
        <f t="shared" si="2"/>
        <v>0</v>
      </c>
      <c r="Y36" s="229">
        <f t="shared" si="3"/>
        <v>0</v>
      </c>
    </row>
    <row r="37" spans="1:25">
      <c r="A37" s="229" t="str">
        <f>IF(OR((ABS(D37)&gt;0),(ABS(I37)&gt;0)),基础信息!$B$1,"")</f>
        <v/>
      </c>
      <c r="I37" s="229">
        <f t="shared" si="0"/>
        <v>0</v>
      </c>
      <c r="P37" s="229">
        <f t="shared" si="1"/>
        <v>0</v>
      </c>
      <c r="W37" s="229">
        <f t="shared" si="2"/>
        <v>0</v>
      </c>
      <c r="Y37" s="229">
        <f t="shared" si="3"/>
        <v>0</v>
      </c>
    </row>
    <row r="38" spans="1:25">
      <c r="A38" s="229" t="str">
        <f>IF(OR((ABS(D38)&gt;0),(ABS(I38)&gt;0)),基础信息!$B$1,"")</f>
        <v/>
      </c>
      <c r="I38" s="229">
        <f t="shared" si="0"/>
        <v>0</v>
      </c>
      <c r="P38" s="229">
        <f t="shared" si="1"/>
        <v>0</v>
      </c>
      <c r="W38" s="229">
        <f t="shared" si="2"/>
        <v>0</v>
      </c>
      <c r="Y38" s="229">
        <f t="shared" si="3"/>
        <v>0</v>
      </c>
    </row>
    <row r="39" spans="1:25">
      <c r="A39" s="229" t="str">
        <f>IF(OR((ABS(D39)&gt;0),(ABS(I39)&gt;0)),基础信息!$B$1,"")</f>
        <v/>
      </c>
      <c r="I39" s="229">
        <f t="shared" si="0"/>
        <v>0</v>
      </c>
      <c r="P39" s="229">
        <f t="shared" si="1"/>
        <v>0</v>
      </c>
      <c r="W39" s="229">
        <f t="shared" si="2"/>
        <v>0</v>
      </c>
      <c r="Y39" s="229">
        <f t="shared" si="3"/>
        <v>0</v>
      </c>
    </row>
    <row r="40" spans="1:25">
      <c r="A40" s="229" t="str">
        <f>IF(OR((ABS(D40)&gt;0),(ABS(I40)&gt;0)),基础信息!$B$1,"")</f>
        <v/>
      </c>
      <c r="I40" s="229">
        <f t="shared" si="0"/>
        <v>0</v>
      </c>
      <c r="P40" s="229">
        <f t="shared" si="1"/>
        <v>0</v>
      </c>
      <c r="W40" s="229">
        <f t="shared" si="2"/>
        <v>0</v>
      </c>
      <c r="Y40" s="229">
        <f t="shared" si="3"/>
        <v>0</v>
      </c>
    </row>
    <row r="41" spans="1:25">
      <c r="A41" s="229" t="str">
        <f>IF(OR((ABS(D41)&gt;0),(ABS(I41)&gt;0)),基础信息!$B$1,"")</f>
        <v/>
      </c>
      <c r="I41" s="229">
        <f t="shared" si="0"/>
        <v>0</v>
      </c>
      <c r="P41" s="229">
        <f t="shared" si="1"/>
        <v>0</v>
      </c>
      <c r="W41" s="229">
        <f t="shared" si="2"/>
        <v>0</v>
      </c>
      <c r="Y41" s="229">
        <f t="shared" si="3"/>
        <v>0</v>
      </c>
    </row>
    <row r="42" spans="1:25">
      <c r="A42" s="229" t="str">
        <f>IF(OR((ABS(D42)&gt;0),(ABS(I42)&gt;0)),基础信息!$B$1,"")</f>
        <v/>
      </c>
      <c r="I42" s="229">
        <f t="shared" si="0"/>
        <v>0</v>
      </c>
      <c r="P42" s="229">
        <f t="shared" si="1"/>
        <v>0</v>
      </c>
      <c r="W42" s="229">
        <f t="shared" si="2"/>
        <v>0</v>
      </c>
      <c r="Y42" s="229">
        <f t="shared" si="3"/>
        <v>0</v>
      </c>
    </row>
    <row r="43" spans="1:25">
      <c r="A43" s="229" t="str">
        <f>IF(OR((ABS(D43)&gt;0),(ABS(I43)&gt;0)),基础信息!$B$1,"")</f>
        <v/>
      </c>
      <c r="I43" s="229">
        <f t="shared" si="0"/>
        <v>0</v>
      </c>
      <c r="P43" s="229">
        <f t="shared" si="1"/>
        <v>0</v>
      </c>
      <c r="W43" s="229">
        <f t="shared" si="2"/>
        <v>0</v>
      </c>
      <c r="Y43" s="229">
        <f t="shared" si="3"/>
        <v>0</v>
      </c>
    </row>
    <row r="44" spans="1:25">
      <c r="A44" s="229" t="str">
        <f>IF(OR((ABS(D44)&gt;0),(ABS(I44)&gt;0)),基础信息!$B$1,"")</f>
        <v/>
      </c>
      <c r="I44" s="229">
        <f t="shared" si="0"/>
        <v>0</v>
      </c>
      <c r="P44" s="229">
        <f t="shared" si="1"/>
        <v>0</v>
      </c>
      <c r="W44" s="229">
        <f t="shared" si="2"/>
        <v>0</v>
      </c>
      <c r="Y44" s="229">
        <f t="shared" si="3"/>
        <v>0</v>
      </c>
    </row>
    <row r="45" spans="1:25">
      <c r="A45" s="229" t="str">
        <f>IF(OR((ABS(D45)&gt;0),(ABS(I45)&gt;0)),基础信息!$B$1,"")</f>
        <v/>
      </c>
      <c r="I45" s="229">
        <f t="shared" si="0"/>
        <v>0</v>
      </c>
      <c r="P45" s="229">
        <f t="shared" si="1"/>
        <v>0</v>
      </c>
      <c r="W45" s="229">
        <f t="shared" si="2"/>
        <v>0</v>
      </c>
      <c r="Y45" s="229">
        <f t="shared" si="3"/>
        <v>0</v>
      </c>
    </row>
    <row r="46" spans="1:25">
      <c r="A46" s="229" t="str">
        <f>IF(OR((ABS(D46)&gt;0),(ABS(I46)&gt;0)),基础信息!$B$1,"")</f>
        <v/>
      </c>
      <c r="I46" s="229">
        <f t="shared" si="0"/>
        <v>0</v>
      </c>
      <c r="P46" s="229">
        <f t="shared" si="1"/>
        <v>0</v>
      </c>
      <c r="W46" s="229">
        <f t="shared" si="2"/>
        <v>0</v>
      </c>
      <c r="Y46" s="229">
        <f t="shared" si="3"/>
        <v>0</v>
      </c>
    </row>
    <row r="47" spans="1:25">
      <c r="A47" s="229" t="str">
        <f>IF(OR((ABS(D47)&gt;0),(ABS(I47)&gt;0)),基础信息!$B$1,"")</f>
        <v/>
      </c>
      <c r="I47" s="229">
        <f t="shared" si="0"/>
        <v>0</v>
      </c>
      <c r="P47" s="229">
        <f t="shared" si="1"/>
        <v>0</v>
      </c>
      <c r="W47" s="229">
        <f t="shared" si="2"/>
        <v>0</v>
      </c>
      <c r="Y47" s="229">
        <f t="shared" si="3"/>
        <v>0</v>
      </c>
    </row>
    <row r="48" spans="1:25">
      <c r="A48" s="229" t="str">
        <f>IF(OR((ABS(D48)&gt;0),(ABS(I48)&gt;0)),基础信息!$B$1,"")</f>
        <v/>
      </c>
      <c r="I48" s="229">
        <f t="shared" si="0"/>
        <v>0</v>
      </c>
      <c r="P48" s="229">
        <f t="shared" si="1"/>
        <v>0</v>
      </c>
      <c r="W48" s="229">
        <f t="shared" si="2"/>
        <v>0</v>
      </c>
      <c r="Y48" s="229">
        <f t="shared" si="3"/>
        <v>0</v>
      </c>
    </row>
    <row r="49" spans="1:25">
      <c r="A49" s="229" t="str">
        <f>IF(OR((ABS(D49)&gt;0),(ABS(I49)&gt;0)),基础信息!$B$1,"")</f>
        <v/>
      </c>
      <c r="I49" s="229">
        <f t="shared" si="0"/>
        <v>0</v>
      </c>
      <c r="P49" s="229">
        <f t="shared" si="1"/>
        <v>0</v>
      </c>
      <c r="W49" s="229">
        <f t="shared" si="2"/>
        <v>0</v>
      </c>
      <c r="Y49" s="229">
        <f t="shared" si="3"/>
        <v>0</v>
      </c>
    </row>
    <row r="50" spans="1:25">
      <c r="A50" s="229" t="str">
        <f>IF(OR((ABS(D50)&gt;0),(ABS(I50)&gt;0)),基础信息!$B$1,"")</f>
        <v/>
      </c>
      <c r="I50" s="229">
        <f t="shared" si="0"/>
        <v>0</v>
      </c>
      <c r="P50" s="229">
        <f t="shared" si="1"/>
        <v>0</v>
      </c>
      <c r="W50" s="229">
        <f t="shared" si="2"/>
        <v>0</v>
      </c>
      <c r="Y50" s="229">
        <f t="shared" si="3"/>
        <v>0</v>
      </c>
    </row>
    <row r="51" spans="1:25">
      <c r="A51" s="229" t="str">
        <f>IF(OR((ABS(D51)&gt;0),(ABS(I51)&gt;0)),基础信息!$B$1,"")</f>
        <v/>
      </c>
      <c r="I51" s="229">
        <f t="shared" si="0"/>
        <v>0</v>
      </c>
      <c r="P51" s="229">
        <f t="shared" si="1"/>
        <v>0</v>
      </c>
      <c r="W51" s="229">
        <f t="shared" si="2"/>
        <v>0</v>
      </c>
      <c r="Y51" s="229">
        <f t="shared" si="3"/>
        <v>0</v>
      </c>
    </row>
    <row r="52" spans="1:25">
      <c r="A52" s="229" t="str">
        <f>IF(OR((ABS(D52)&gt;0),(ABS(I52)&gt;0)),基础信息!$B$1,"")</f>
        <v/>
      </c>
      <c r="I52" s="229">
        <f t="shared" si="0"/>
        <v>0</v>
      </c>
      <c r="P52" s="229">
        <f t="shared" si="1"/>
        <v>0</v>
      </c>
      <c r="W52" s="229">
        <f t="shared" si="2"/>
        <v>0</v>
      </c>
      <c r="Y52" s="229">
        <f t="shared" si="3"/>
        <v>0</v>
      </c>
    </row>
    <row r="53" spans="1:25">
      <c r="A53" s="229" t="str">
        <f>IF(OR((ABS(D53)&gt;0),(ABS(I53)&gt;0)),基础信息!$B$1,"")</f>
        <v/>
      </c>
      <c r="I53" s="229">
        <f t="shared" si="0"/>
        <v>0</v>
      </c>
      <c r="P53" s="229">
        <f t="shared" si="1"/>
        <v>0</v>
      </c>
      <c r="W53" s="229">
        <f t="shared" si="2"/>
        <v>0</v>
      </c>
      <c r="Y53" s="229">
        <f t="shared" si="3"/>
        <v>0</v>
      </c>
    </row>
    <row r="54" spans="1:25">
      <c r="A54" s="229" t="str">
        <f>IF(OR((ABS(D54)&gt;0),(ABS(I54)&gt;0)),基础信息!$B$1,"")</f>
        <v/>
      </c>
      <c r="I54" s="229">
        <f t="shared" si="0"/>
        <v>0</v>
      </c>
      <c r="P54" s="229">
        <f t="shared" si="1"/>
        <v>0</v>
      </c>
      <c r="W54" s="229">
        <f t="shared" si="2"/>
        <v>0</v>
      </c>
      <c r="Y54" s="229">
        <f t="shared" si="3"/>
        <v>0</v>
      </c>
    </row>
    <row r="55" spans="1:25">
      <c r="A55" s="229" t="str">
        <f>IF(OR((ABS(D55)&gt;0),(ABS(I55)&gt;0)),基础信息!$B$1,"")</f>
        <v/>
      </c>
      <c r="I55" s="229">
        <f t="shared" si="0"/>
        <v>0</v>
      </c>
      <c r="P55" s="229">
        <f t="shared" si="1"/>
        <v>0</v>
      </c>
      <c r="W55" s="229">
        <f t="shared" si="2"/>
        <v>0</v>
      </c>
      <c r="Y55" s="229">
        <f t="shared" si="3"/>
        <v>0</v>
      </c>
    </row>
    <row r="56" spans="1:25">
      <c r="A56" s="229" t="str">
        <f>IF(OR((ABS(D56)&gt;0),(ABS(I56)&gt;0)),基础信息!$B$1,"")</f>
        <v/>
      </c>
      <c r="I56" s="229">
        <f t="shared" si="0"/>
        <v>0</v>
      </c>
      <c r="P56" s="229">
        <f t="shared" si="1"/>
        <v>0</v>
      </c>
      <c r="W56" s="229">
        <f t="shared" si="2"/>
        <v>0</v>
      </c>
      <c r="Y56" s="229">
        <f t="shared" si="3"/>
        <v>0</v>
      </c>
    </row>
    <row r="57" spans="1:25">
      <c r="A57" s="229" t="str">
        <f>IF(OR((ABS(D57)&gt;0),(ABS(I57)&gt;0)),基础信息!$B$1,"")</f>
        <v/>
      </c>
      <c r="I57" s="229">
        <f t="shared" si="0"/>
        <v>0</v>
      </c>
      <c r="P57" s="229">
        <f t="shared" si="1"/>
        <v>0</v>
      </c>
      <c r="W57" s="229">
        <f t="shared" si="2"/>
        <v>0</v>
      </c>
      <c r="Y57" s="229">
        <f t="shared" si="3"/>
        <v>0</v>
      </c>
    </row>
    <row r="58" spans="1:25">
      <c r="A58" s="229" t="str">
        <f>IF(OR((ABS(D58)&gt;0),(ABS(I58)&gt;0)),基础信息!$B$1,"")</f>
        <v/>
      </c>
      <c r="I58" s="229">
        <f t="shared" si="0"/>
        <v>0</v>
      </c>
      <c r="P58" s="229">
        <f t="shared" si="1"/>
        <v>0</v>
      </c>
      <c r="W58" s="229">
        <f t="shared" si="2"/>
        <v>0</v>
      </c>
      <c r="Y58" s="229">
        <f t="shared" si="3"/>
        <v>0</v>
      </c>
    </row>
    <row r="59" spans="1:25">
      <c r="A59" s="229" t="str">
        <f>IF(OR((ABS(D59)&gt;0),(ABS(I59)&gt;0)),基础信息!$B$1,"")</f>
        <v/>
      </c>
      <c r="I59" s="229">
        <f t="shared" si="0"/>
        <v>0</v>
      </c>
      <c r="P59" s="229">
        <f t="shared" si="1"/>
        <v>0</v>
      </c>
      <c r="W59" s="229">
        <f t="shared" si="2"/>
        <v>0</v>
      </c>
      <c r="Y59" s="229">
        <f t="shared" si="3"/>
        <v>0</v>
      </c>
    </row>
    <row r="60" spans="1:25">
      <c r="A60" s="229" t="str">
        <f>IF(OR((ABS(D60)&gt;0),(ABS(I60)&gt;0)),基础信息!$B$1,"")</f>
        <v/>
      </c>
      <c r="I60" s="229">
        <f t="shared" si="0"/>
        <v>0</v>
      </c>
      <c r="P60" s="229">
        <f t="shared" si="1"/>
        <v>0</v>
      </c>
      <c r="W60" s="229">
        <f t="shared" si="2"/>
        <v>0</v>
      </c>
      <c r="Y60" s="229">
        <f t="shared" si="3"/>
        <v>0</v>
      </c>
    </row>
    <row r="61" spans="1:25">
      <c r="A61" s="229" t="str">
        <f>IF(OR((ABS(D61)&gt;0),(ABS(I61)&gt;0)),基础信息!$B$1,"")</f>
        <v/>
      </c>
      <c r="I61" s="229">
        <f t="shared" si="0"/>
        <v>0</v>
      </c>
      <c r="P61" s="229">
        <f t="shared" si="1"/>
        <v>0</v>
      </c>
      <c r="W61" s="229">
        <f t="shared" si="2"/>
        <v>0</v>
      </c>
      <c r="Y61" s="229">
        <f t="shared" si="3"/>
        <v>0</v>
      </c>
    </row>
    <row r="62" spans="1:25">
      <c r="A62" s="229" t="str">
        <f>IF(OR((ABS(D62)&gt;0),(ABS(I62)&gt;0)),基础信息!$B$1,"")</f>
        <v/>
      </c>
      <c r="I62" s="229">
        <f t="shared" si="0"/>
        <v>0</v>
      </c>
      <c r="P62" s="229">
        <f t="shared" si="1"/>
        <v>0</v>
      </c>
      <c r="W62" s="229">
        <f t="shared" si="2"/>
        <v>0</v>
      </c>
      <c r="Y62" s="229">
        <f t="shared" si="3"/>
        <v>0</v>
      </c>
    </row>
    <row r="63" spans="1:25">
      <c r="A63" s="229" t="str">
        <f>IF(OR((ABS(D63)&gt;0),(ABS(I63)&gt;0)),基础信息!$B$1,"")</f>
        <v/>
      </c>
      <c r="I63" s="229">
        <f t="shared" si="0"/>
        <v>0</v>
      </c>
      <c r="P63" s="229">
        <f t="shared" si="1"/>
        <v>0</v>
      </c>
      <c r="W63" s="229">
        <f t="shared" si="2"/>
        <v>0</v>
      </c>
      <c r="Y63" s="229">
        <f t="shared" si="3"/>
        <v>0</v>
      </c>
    </row>
    <row r="64" spans="1:25">
      <c r="A64" s="229" t="str">
        <f>IF(OR((ABS(D64)&gt;0),(ABS(I64)&gt;0)),基础信息!$B$1,"")</f>
        <v/>
      </c>
      <c r="I64" s="229">
        <f t="shared" si="0"/>
        <v>0</v>
      </c>
      <c r="P64" s="229">
        <f t="shared" si="1"/>
        <v>0</v>
      </c>
      <c r="W64" s="229">
        <f t="shared" si="2"/>
        <v>0</v>
      </c>
      <c r="Y64" s="229">
        <f t="shared" si="3"/>
        <v>0</v>
      </c>
    </row>
    <row r="65" spans="1:25">
      <c r="A65" s="229" t="str">
        <f>IF(OR((ABS(D65)&gt;0),(ABS(I65)&gt;0)),基础信息!$B$1,"")</f>
        <v/>
      </c>
      <c r="I65" s="229">
        <f t="shared" si="0"/>
        <v>0</v>
      </c>
      <c r="P65" s="229">
        <f t="shared" si="1"/>
        <v>0</v>
      </c>
      <c r="W65" s="229">
        <f t="shared" si="2"/>
        <v>0</v>
      </c>
      <c r="Y65" s="229">
        <f t="shared" si="3"/>
        <v>0</v>
      </c>
    </row>
    <row r="66" spans="1:25">
      <c r="A66" s="229" t="str">
        <f>IF(OR((ABS(D66)&gt;0),(ABS(I66)&gt;0)),基础信息!$B$1,"")</f>
        <v/>
      </c>
      <c r="I66" s="229">
        <f t="shared" si="0"/>
        <v>0</v>
      </c>
      <c r="P66" s="229">
        <f t="shared" si="1"/>
        <v>0</v>
      </c>
      <c r="W66" s="229">
        <f t="shared" si="2"/>
        <v>0</v>
      </c>
      <c r="Y66" s="229">
        <f t="shared" si="3"/>
        <v>0</v>
      </c>
    </row>
    <row r="67" spans="1:25">
      <c r="A67" s="229" t="str">
        <f>IF(OR((ABS(D67)&gt;0),(ABS(I67)&gt;0)),基础信息!$B$1,"")</f>
        <v/>
      </c>
      <c r="I67" s="229">
        <f t="shared" ref="I67:I130" si="4">D67+F67+G67-H67</f>
        <v>0</v>
      </c>
      <c r="P67" s="229">
        <f t="shared" ref="P67:P130" si="5">SUM(Q67:V67)</f>
        <v>0</v>
      </c>
      <c r="W67" s="229">
        <f t="shared" ref="W67:W130" si="6">I67-P67</f>
        <v>0</v>
      </c>
      <c r="Y67" s="229">
        <f t="shared" ref="Y67:Y130" si="7">SUM(J67:O67)-I67</f>
        <v>0</v>
      </c>
    </row>
    <row r="68" spans="1:25">
      <c r="A68" s="229" t="str">
        <f>IF(OR((ABS(D68)&gt;0),(ABS(I68)&gt;0)),基础信息!$B$1,"")</f>
        <v/>
      </c>
      <c r="I68" s="229">
        <f t="shared" si="4"/>
        <v>0</v>
      </c>
      <c r="P68" s="229">
        <f t="shared" si="5"/>
        <v>0</v>
      </c>
      <c r="W68" s="229">
        <f t="shared" si="6"/>
        <v>0</v>
      </c>
      <c r="Y68" s="229">
        <f t="shared" si="7"/>
        <v>0</v>
      </c>
    </row>
    <row r="69" spans="1:25">
      <c r="A69" s="229" t="str">
        <f>IF(OR((ABS(D69)&gt;0),(ABS(I69)&gt;0)),基础信息!$B$1,"")</f>
        <v/>
      </c>
      <c r="I69" s="229">
        <f t="shared" si="4"/>
        <v>0</v>
      </c>
      <c r="P69" s="229">
        <f t="shared" si="5"/>
        <v>0</v>
      </c>
      <c r="W69" s="229">
        <f t="shared" si="6"/>
        <v>0</v>
      </c>
      <c r="Y69" s="229">
        <f t="shared" si="7"/>
        <v>0</v>
      </c>
    </row>
    <row r="70" spans="1:25">
      <c r="A70" s="229" t="str">
        <f>IF(OR((ABS(D70)&gt;0),(ABS(I70)&gt;0)),基础信息!$B$1,"")</f>
        <v/>
      </c>
      <c r="I70" s="229">
        <f t="shared" si="4"/>
        <v>0</v>
      </c>
      <c r="P70" s="229">
        <f t="shared" si="5"/>
        <v>0</v>
      </c>
      <c r="W70" s="229">
        <f t="shared" si="6"/>
        <v>0</v>
      </c>
      <c r="Y70" s="229">
        <f t="shared" si="7"/>
        <v>0</v>
      </c>
    </row>
    <row r="71" spans="1:25">
      <c r="A71" s="229" t="str">
        <f>IF(OR((ABS(D71)&gt;0),(ABS(I71)&gt;0)),基础信息!$B$1,"")</f>
        <v/>
      </c>
      <c r="I71" s="229">
        <f t="shared" si="4"/>
        <v>0</v>
      </c>
      <c r="P71" s="229">
        <f t="shared" si="5"/>
        <v>0</v>
      </c>
      <c r="W71" s="229">
        <f t="shared" si="6"/>
        <v>0</v>
      </c>
      <c r="Y71" s="229">
        <f t="shared" si="7"/>
        <v>0</v>
      </c>
    </row>
    <row r="72" spans="1:25">
      <c r="A72" s="229" t="str">
        <f>IF(OR((ABS(D72)&gt;0),(ABS(I72)&gt;0)),基础信息!$B$1,"")</f>
        <v/>
      </c>
      <c r="I72" s="229">
        <f t="shared" si="4"/>
        <v>0</v>
      </c>
      <c r="P72" s="229">
        <f t="shared" si="5"/>
        <v>0</v>
      </c>
      <c r="W72" s="229">
        <f t="shared" si="6"/>
        <v>0</v>
      </c>
      <c r="Y72" s="229">
        <f t="shared" si="7"/>
        <v>0</v>
      </c>
    </row>
    <row r="73" spans="1:25">
      <c r="A73" s="229" t="str">
        <f>IF(OR((ABS(D73)&gt;0),(ABS(I73)&gt;0)),基础信息!$B$1,"")</f>
        <v/>
      </c>
      <c r="I73" s="229">
        <f t="shared" si="4"/>
        <v>0</v>
      </c>
      <c r="P73" s="229">
        <f t="shared" si="5"/>
        <v>0</v>
      </c>
      <c r="W73" s="229">
        <f t="shared" si="6"/>
        <v>0</v>
      </c>
      <c r="Y73" s="229">
        <f t="shared" si="7"/>
        <v>0</v>
      </c>
    </row>
    <row r="74" spans="1:25">
      <c r="A74" s="229" t="str">
        <f>IF(OR((ABS(D74)&gt;0),(ABS(I74)&gt;0)),基础信息!$B$1,"")</f>
        <v/>
      </c>
      <c r="I74" s="229">
        <f t="shared" si="4"/>
        <v>0</v>
      </c>
      <c r="P74" s="229">
        <f t="shared" si="5"/>
        <v>0</v>
      </c>
      <c r="W74" s="229">
        <f t="shared" si="6"/>
        <v>0</v>
      </c>
      <c r="Y74" s="229">
        <f t="shared" si="7"/>
        <v>0</v>
      </c>
    </row>
    <row r="75" spans="1:25">
      <c r="A75" s="229" t="str">
        <f>IF(OR((ABS(D75)&gt;0),(ABS(I75)&gt;0)),基础信息!$B$1,"")</f>
        <v/>
      </c>
      <c r="I75" s="229">
        <f t="shared" si="4"/>
        <v>0</v>
      </c>
      <c r="P75" s="229">
        <f t="shared" si="5"/>
        <v>0</v>
      </c>
      <c r="W75" s="229">
        <f t="shared" si="6"/>
        <v>0</v>
      </c>
      <c r="Y75" s="229">
        <f t="shared" si="7"/>
        <v>0</v>
      </c>
    </row>
    <row r="76" spans="1:25">
      <c r="A76" s="229" t="str">
        <f>IF(OR((ABS(D76)&gt;0),(ABS(I76)&gt;0)),基础信息!$B$1,"")</f>
        <v/>
      </c>
      <c r="I76" s="229">
        <f t="shared" si="4"/>
        <v>0</v>
      </c>
      <c r="P76" s="229">
        <f t="shared" si="5"/>
        <v>0</v>
      </c>
      <c r="W76" s="229">
        <f t="shared" si="6"/>
        <v>0</v>
      </c>
      <c r="Y76" s="229">
        <f t="shared" si="7"/>
        <v>0</v>
      </c>
    </row>
    <row r="77" spans="1:25">
      <c r="A77" s="229" t="str">
        <f>IF(OR((ABS(D77)&gt;0),(ABS(I77)&gt;0)),基础信息!$B$1,"")</f>
        <v/>
      </c>
      <c r="I77" s="229">
        <f t="shared" si="4"/>
        <v>0</v>
      </c>
      <c r="P77" s="229">
        <f t="shared" si="5"/>
        <v>0</v>
      </c>
      <c r="W77" s="229">
        <f t="shared" si="6"/>
        <v>0</v>
      </c>
      <c r="Y77" s="229">
        <f t="shared" si="7"/>
        <v>0</v>
      </c>
    </row>
    <row r="78" spans="1:25">
      <c r="A78" s="229" t="str">
        <f>IF(OR((ABS(D78)&gt;0),(ABS(I78)&gt;0)),基础信息!$B$1,"")</f>
        <v/>
      </c>
      <c r="I78" s="229">
        <f t="shared" si="4"/>
        <v>0</v>
      </c>
      <c r="P78" s="229">
        <f t="shared" si="5"/>
        <v>0</v>
      </c>
      <c r="W78" s="229">
        <f t="shared" si="6"/>
        <v>0</v>
      </c>
      <c r="Y78" s="229">
        <f t="shared" si="7"/>
        <v>0</v>
      </c>
    </row>
    <row r="79" spans="1:25">
      <c r="A79" s="229" t="str">
        <f>IF(OR((ABS(D79)&gt;0),(ABS(I79)&gt;0)),基础信息!$B$1,"")</f>
        <v/>
      </c>
      <c r="I79" s="229">
        <f t="shared" si="4"/>
        <v>0</v>
      </c>
      <c r="P79" s="229">
        <f t="shared" si="5"/>
        <v>0</v>
      </c>
      <c r="W79" s="229">
        <f t="shared" si="6"/>
        <v>0</v>
      </c>
      <c r="Y79" s="229">
        <f t="shared" si="7"/>
        <v>0</v>
      </c>
    </row>
    <row r="80" spans="1:25">
      <c r="A80" s="229" t="str">
        <f>IF(OR((ABS(D80)&gt;0),(ABS(I80)&gt;0)),基础信息!$B$1,"")</f>
        <v/>
      </c>
      <c r="I80" s="229">
        <f t="shared" si="4"/>
        <v>0</v>
      </c>
      <c r="P80" s="229">
        <f t="shared" si="5"/>
        <v>0</v>
      </c>
      <c r="W80" s="229">
        <f t="shared" si="6"/>
        <v>0</v>
      </c>
      <c r="Y80" s="229">
        <f t="shared" si="7"/>
        <v>0</v>
      </c>
    </row>
    <row r="81" spans="1:25">
      <c r="A81" s="229" t="str">
        <f>IF(OR((ABS(D81)&gt;0),(ABS(I81)&gt;0)),基础信息!$B$1,"")</f>
        <v/>
      </c>
      <c r="I81" s="229">
        <f t="shared" si="4"/>
        <v>0</v>
      </c>
      <c r="P81" s="229">
        <f t="shared" si="5"/>
        <v>0</v>
      </c>
      <c r="W81" s="229">
        <f t="shared" si="6"/>
        <v>0</v>
      </c>
      <c r="Y81" s="229">
        <f t="shared" si="7"/>
        <v>0</v>
      </c>
    </row>
    <row r="82" spans="1:25">
      <c r="A82" s="229" t="str">
        <f>IF(OR((ABS(D82)&gt;0),(ABS(I82)&gt;0)),基础信息!$B$1,"")</f>
        <v/>
      </c>
      <c r="I82" s="229">
        <f t="shared" si="4"/>
        <v>0</v>
      </c>
      <c r="P82" s="229">
        <f t="shared" si="5"/>
        <v>0</v>
      </c>
      <c r="W82" s="229">
        <f t="shared" si="6"/>
        <v>0</v>
      </c>
      <c r="Y82" s="229">
        <f t="shared" si="7"/>
        <v>0</v>
      </c>
    </row>
    <row r="83" spans="1:25">
      <c r="A83" s="229" t="str">
        <f>IF(OR((ABS(D83)&gt;0),(ABS(I83)&gt;0)),基础信息!$B$1,"")</f>
        <v/>
      </c>
      <c r="I83" s="229">
        <f t="shared" si="4"/>
        <v>0</v>
      </c>
      <c r="P83" s="229">
        <f t="shared" si="5"/>
        <v>0</v>
      </c>
      <c r="W83" s="229">
        <f t="shared" si="6"/>
        <v>0</v>
      </c>
      <c r="Y83" s="229">
        <f t="shared" si="7"/>
        <v>0</v>
      </c>
    </row>
    <row r="84" spans="1:25">
      <c r="A84" s="229" t="str">
        <f>IF(OR((ABS(D84)&gt;0),(ABS(I84)&gt;0)),基础信息!$B$1,"")</f>
        <v/>
      </c>
      <c r="I84" s="229">
        <f t="shared" si="4"/>
        <v>0</v>
      </c>
      <c r="P84" s="229">
        <f t="shared" si="5"/>
        <v>0</v>
      </c>
      <c r="W84" s="229">
        <f t="shared" si="6"/>
        <v>0</v>
      </c>
      <c r="Y84" s="229">
        <f t="shared" si="7"/>
        <v>0</v>
      </c>
    </row>
    <row r="85" spans="1:25">
      <c r="A85" s="229" t="str">
        <f>IF(OR((ABS(D85)&gt;0),(ABS(I85)&gt;0)),基础信息!$B$1,"")</f>
        <v/>
      </c>
      <c r="I85" s="229">
        <f t="shared" si="4"/>
        <v>0</v>
      </c>
      <c r="P85" s="229">
        <f t="shared" si="5"/>
        <v>0</v>
      </c>
      <c r="W85" s="229">
        <f t="shared" si="6"/>
        <v>0</v>
      </c>
      <c r="Y85" s="229">
        <f t="shared" si="7"/>
        <v>0</v>
      </c>
    </row>
    <row r="86" spans="1:25">
      <c r="A86" s="229" t="str">
        <f>IF(OR((ABS(D86)&gt;0),(ABS(I86)&gt;0)),基础信息!$B$1,"")</f>
        <v/>
      </c>
      <c r="I86" s="229">
        <f t="shared" si="4"/>
        <v>0</v>
      </c>
      <c r="P86" s="229">
        <f t="shared" si="5"/>
        <v>0</v>
      </c>
      <c r="W86" s="229">
        <f t="shared" si="6"/>
        <v>0</v>
      </c>
      <c r="Y86" s="229">
        <f t="shared" si="7"/>
        <v>0</v>
      </c>
    </row>
    <row r="87" spans="1:25">
      <c r="A87" s="229" t="str">
        <f>IF(OR((ABS(D87)&gt;0),(ABS(I87)&gt;0)),基础信息!$B$1,"")</f>
        <v/>
      </c>
      <c r="I87" s="229">
        <f t="shared" si="4"/>
        <v>0</v>
      </c>
      <c r="P87" s="229">
        <f t="shared" si="5"/>
        <v>0</v>
      </c>
      <c r="W87" s="229">
        <f t="shared" si="6"/>
        <v>0</v>
      </c>
      <c r="Y87" s="229">
        <f t="shared" si="7"/>
        <v>0</v>
      </c>
    </row>
    <row r="88" spans="1:25">
      <c r="A88" s="229" t="str">
        <f>IF(OR((ABS(D88)&gt;0),(ABS(I88)&gt;0)),基础信息!$B$1,"")</f>
        <v/>
      </c>
      <c r="I88" s="229">
        <f t="shared" si="4"/>
        <v>0</v>
      </c>
      <c r="P88" s="229">
        <f t="shared" si="5"/>
        <v>0</v>
      </c>
      <c r="W88" s="229">
        <f t="shared" si="6"/>
        <v>0</v>
      </c>
      <c r="Y88" s="229">
        <f t="shared" si="7"/>
        <v>0</v>
      </c>
    </row>
    <row r="89" spans="1:25">
      <c r="A89" s="229" t="str">
        <f>IF(OR((ABS(D89)&gt;0),(ABS(I89)&gt;0)),基础信息!$B$1,"")</f>
        <v/>
      </c>
      <c r="I89" s="229">
        <f t="shared" si="4"/>
        <v>0</v>
      </c>
      <c r="P89" s="229">
        <f t="shared" si="5"/>
        <v>0</v>
      </c>
      <c r="W89" s="229">
        <f t="shared" si="6"/>
        <v>0</v>
      </c>
      <c r="Y89" s="229">
        <f t="shared" si="7"/>
        <v>0</v>
      </c>
    </row>
    <row r="90" spans="1:25">
      <c r="A90" s="229" t="str">
        <f>IF(OR((ABS(D90)&gt;0),(ABS(I90)&gt;0)),基础信息!$B$1,"")</f>
        <v/>
      </c>
      <c r="I90" s="229">
        <f t="shared" si="4"/>
        <v>0</v>
      </c>
      <c r="P90" s="229">
        <f t="shared" si="5"/>
        <v>0</v>
      </c>
      <c r="W90" s="229">
        <f t="shared" si="6"/>
        <v>0</v>
      </c>
      <c r="Y90" s="229">
        <f t="shared" si="7"/>
        <v>0</v>
      </c>
    </row>
    <row r="91" spans="1:25">
      <c r="A91" s="229" t="str">
        <f>IF(OR((ABS(D91)&gt;0),(ABS(I91)&gt;0)),基础信息!$B$1,"")</f>
        <v/>
      </c>
      <c r="I91" s="229">
        <f t="shared" si="4"/>
        <v>0</v>
      </c>
      <c r="P91" s="229">
        <f t="shared" si="5"/>
        <v>0</v>
      </c>
      <c r="W91" s="229">
        <f t="shared" si="6"/>
        <v>0</v>
      </c>
      <c r="Y91" s="229">
        <f t="shared" si="7"/>
        <v>0</v>
      </c>
    </row>
    <row r="92" spans="1:25">
      <c r="A92" s="229" t="str">
        <f>IF(OR((ABS(D92)&gt;0),(ABS(I92)&gt;0)),基础信息!$B$1,"")</f>
        <v/>
      </c>
      <c r="I92" s="229">
        <f t="shared" si="4"/>
        <v>0</v>
      </c>
      <c r="P92" s="229">
        <f t="shared" si="5"/>
        <v>0</v>
      </c>
      <c r="W92" s="229">
        <f t="shared" si="6"/>
        <v>0</v>
      </c>
      <c r="Y92" s="229">
        <f t="shared" si="7"/>
        <v>0</v>
      </c>
    </row>
    <row r="93" spans="1:25">
      <c r="A93" s="229" t="str">
        <f>IF(OR((ABS(D93)&gt;0),(ABS(I93)&gt;0)),基础信息!$B$1,"")</f>
        <v/>
      </c>
      <c r="I93" s="229">
        <f t="shared" si="4"/>
        <v>0</v>
      </c>
      <c r="P93" s="229">
        <f t="shared" si="5"/>
        <v>0</v>
      </c>
      <c r="W93" s="229">
        <f t="shared" si="6"/>
        <v>0</v>
      </c>
      <c r="Y93" s="229">
        <f t="shared" si="7"/>
        <v>0</v>
      </c>
    </row>
    <row r="94" spans="1:25">
      <c r="A94" s="229" t="str">
        <f>IF(OR((ABS(D94)&gt;0),(ABS(I94)&gt;0)),基础信息!$B$1,"")</f>
        <v/>
      </c>
      <c r="I94" s="229">
        <f t="shared" si="4"/>
        <v>0</v>
      </c>
      <c r="P94" s="229">
        <f t="shared" si="5"/>
        <v>0</v>
      </c>
      <c r="W94" s="229">
        <f t="shared" si="6"/>
        <v>0</v>
      </c>
      <c r="Y94" s="229">
        <f t="shared" si="7"/>
        <v>0</v>
      </c>
    </row>
    <row r="95" spans="1:25">
      <c r="A95" s="229" t="str">
        <f>IF(OR((ABS(D95)&gt;0),(ABS(I95)&gt;0)),基础信息!$B$1,"")</f>
        <v/>
      </c>
      <c r="I95" s="229">
        <f t="shared" si="4"/>
        <v>0</v>
      </c>
      <c r="P95" s="229">
        <f t="shared" si="5"/>
        <v>0</v>
      </c>
      <c r="W95" s="229">
        <f t="shared" si="6"/>
        <v>0</v>
      </c>
      <c r="Y95" s="229">
        <f t="shared" si="7"/>
        <v>0</v>
      </c>
    </row>
    <row r="96" spans="1:25">
      <c r="A96" s="229" t="str">
        <f>IF(OR((ABS(D96)&gt;0),(ABS(I96)&gt;0)),基础信息!$B$1,"")</f>
        <v/>
      </c>
      <c r="I96" s="229">
        <f t="shared" si="4"/>
        <v>0</v>
      </c>
      <c r="P96" s="229">
        <f t="shared" si="5"/>
        <v>0</v>
      </c>
      <c r="W96" s="229">
        <f t="shared" si="6"/>
        <v>0</v>
      </c>
      <c r="Y96" s="229">
        <f t="shared" si="7"/>
        <v>0</v>
      </c>
    </row>
    <row r="97" spans="1:25">
      <c r="A97" s="229" t="str">
        <f>IF(OR((ABS(D97)&gt;0),(ABS(I97)&gt;0)),基础信息!$B$1,"")</f>
        <v/>
      </c>
      <c r="I97" s="229">
        <f t="shared" si="4"/>
        <v>0</v>
      </c>
      <c r="P97" s="229">
        <f t="shared" si="5"/>
        <v>0</v>
      </c>
      <c r="W97" s="229">
        <f t="shared" si="6"/>
        <v>0</v>
      </c>
      <c r="Y97" s="229">
        <f t="shared" si="7"/>
        <v>0</v>
      </c>
    </row>
    <row r="98" spans="1:25">
      <c r="A98" s="229" t="str">
        <f>IF(OR((ABS(D98)&gt;0),(ABS(I98)&gt;0)),基础信息!$B$1,"")</f>
        <v/>
      </c>
      <c r="I98" s="229">
        <f t="shared" si="4"/>
        <v>0</v>
      </c>
      <c r="P98" s="229">
        <f t="shared" si="5"/>
        <v>0</v>
      </c>
      <c r="W98" s="229">
        <f t="shared" si="6"/>
        <v>0</v>
      </c>
      <c r="Y98" s="229">
        <f t="shared" si="7"/>
        <v>0</v>
      </c>
    </row>
    <row r="99" spans="1:25">
      <c r="A99" s="229" t="str">
        <f>IF(OR((ABS(D99)&gt;0),(ABS(I99)&gt;0)),基础信息!$B$1,"")</f>
        <v/>
      </c>
      <c r="I99" s="229">
        <f t="shared" si="4"/>
        <v>0</v>
      </c>
      <c r="P99" s="229">
        <f t="shared" si="5"/>
        <v>0</v>
      </c>
      <c r="W99" s="229">
        <f t="shared" si="6"/>
        <v>0</v>
      </c>
      <c r="Y99" s="229">
        <f t="shared" si="7"/>
        <v>0</v>
      </c>
    </row>
    <row r="100" spans="1:25">
      <c r="A100" s="229" t="str">
        <f>IF(OR((ABS(D100)&gt;0),(ABS(I100)&gt;0)),基础信息!$B$1,"")</f>
        <v/>
      </c>
      <c r="I100" s="229">
        <f t="shared" si="4"/>
        <v>0</v>
      </c>
      <c r="P100" s="229">
        <f t="shared" si="5"/>
        <v>0</v>
      </c>
      <c r="W100" s="229">
        <f t="shared" si="6"/>
        <v>0</v>
      </c>
      <c r="Y100" s="229">
        <f t="shared" si="7"/>
        <v>0</v>
      </c>
    </row>
    <row r="101" spans="1:25">
      <c r="A101" s="229" t="str">
        <f>IF(OR((ABS(D101)&gt;0),(ABS(I101)&gt;0)),基础信息!$B$1,"")</f>
        <v/>
      </c>
      <c r="I101" s="229">
        <f t="shared" si="4"/>
        <v>0</v>
      </c>
      <c r="P101" s="229">
        <f t="shared" si="5"/>
        <v>0</v>
      </c>
      <c r="W101" s="229">
        <f t="shared" si="6"/>
        <v>0</v>
      </c>
      <c r="Y101" s="229">
        <f t="shared" si="7"/>
        <v>0</v>
      </c>
    </row>
    <row r="102" spans="1:25">
      <c r="A102" s="229" t="str">
        <f>IF(OR((ABS(D102)&gt;0),(ABS(I102)&gt;0)),基础信息!$B$1,"")</f>
        <v/>
      </c>
      <c r="I102" s="229">
        <f t="shared" si="4"/>
        <v>0</v>
      </c>
      <c r="P102" s="229">
        <f t="shared" si="5"/>
        <v>0</v>
      </c>
      <c r="W102" s="229">
        <f t="shared" si="6"/>
        <v>0</v>
      </c>
      <c r="Y102" s="229">
        <f t="shared" si="7"/>
        <v>0</v>
      </c>
    </row>
    <row r="103" spans="1:25">
      <c r="A103" s="229" t="str">
        <f>IF(OR((ABS(D103)&gt;0),(ABS(I103)&gt;0)),基础信息!$B$1,"")</f>
        <v/>
      </c>
      <c r="I103" s="229">
        <f t="shared" si="4"/>
        <v>0</v>
      </c>
      <c r="P103" s="229">
        <f t="shared" si="5"/>
        <v>0</v>
      </c>
      <c r="W103" s="229">
        <f t="shared" si="6"/>
        <v>0</v>
      </c>
      <c r="Y103" s="229">
        <f t="shared" si="7"/>
        <v>0</v>
      </c>
    </row>
    <row r="104" spans="1:25">
      <c r="A104" s="229" t="str">
        <f>IF(OR((ABS(D104)&gt;0),(ABS(I104)&gt;0)),基础信息!$B$1,"")</f>
        <v/>
      </c>
      <c r="I104" s="229">
        <f t="shared" si="4"/>
        <v>0</v>
      </c>
      <c r="P104" s="229">
        <f t="shared" si="5"/>
        <v>0</v>
      </c>
      <c r="W104" s="229">
        <f t="shared" si="6"/>
        <v>0</v>
      </c>
      <c r="Y104" s="229">
        <f t="shared" si="7"/>
        <v>0</v>
      </c>
    </row>
    <row r="105" spans="1:25">
      <c r="A105" s="229" t="str">
        <f>IF(OR((ABS(D105)&gt;0),(ABS(I105)&gt;0)),基础信息!$B$1,"")</f>
        <v/>
      </c>
      <c r="I105" s="229">
        <f t="shared" si="4"/>
        <v>0</v>
      </c>
      <c r="P105" s="229">
        <f t="shared" si="5"/>
        <v>0</v>
      </c>
      <c r="W105" s="229">
        <f t="shared" si="6"/>
        <v>0</v>
      </c>
      <c r="Y105" s="229">
        <f t="shared" si="7"/>
        <v>0</v>
      </c>
    </row>
    <row r="106" spans="1:25">
      <c r="A106" s="229" t="str">
        <f>IF(OR((ABS(D106)&gt;0),(ABS(I106)&gt;0)),基础信息!$B$1,"")</f>
        <v/>
      </c>
      <c r="I106" s="229">
        <f t="shared" si="4"/>
        <v>0</v>
      </c>
      <c r="P106" s="229">
        <f t="shared" si="5"/>
        <v>0</v>
      </c>
      <c r="W106" s="229">
        <f t="shared" si="6"/>
        <v>0</v>
      </c>
      <c r="Y106" s="229">
        <f t="shared" si="7"/>
        <v>0</v>
      </c>
    </row>
    <row r="107" spans="1:25">
      <c r="A107" s="229" t="str">
        <f>IF(OR((ABS(D107)&gt;0),(ABS(I107)&gt;0)),基础信息!$B$1,"")</f>
        <v/>
      </c>
      <c r="I107" s="229">
        <f t="shared" si="4"/>
        <v>0</v>
      </c>
      <c r="P107" s="229">
        <f t="shared" si="5"/>
        <v>0</v>
      </c>
      <c r="W107" s="229">
        <f t="shared" si="6"/>
        <v>0</v>
      </c>
      <c r="Y107" s="229">
        <f t="shared" si="7"/>
        <v>0</v>
      </c>
    </row>
    <row r="108" spans="1:25">
      <c r="A108" s="229" t="str">
        <f>IF(OR((ABS(D108)&gt;0),(ABS(I108)&gt;0)),基础信息!$B$1,"")</f>
        <v/>
      </c>
      <c r="I108" s="229">
        <f t="shared" si="4"/>
        <v>0</v>
      </c>
      <c r="P108" s="229">
        <f t="shared" si="5"/>
        <v>0</v>
      </c>
      <c r="W108" s="229">
        <f t="shared" si="6"/>
        <v>0</v>
      </c>
      <c r="Y108" s="229">
        <f t="shared" si="7"/>
        <v>0</v>
      </c>
    </row>
    <row r="109" spans="1:25">
      <c r="A109" s="229" t="str">
        <f>IF(OR((ABS(D109)&gt;0),(ABS(I109)&gt;0)),基础信息!$B$1,"")</f>
        <v/>
      </c>
      <c r="I109" s="229">
        <f t="shared" si="4"/>
        <v>0</v>
      </c>
      <c r="P109" s="229">
        <f t="shared" si="5"/>
        <v>0</v>
      </c>
      <c r="W109" s="229">
        <f t="shared" si="6"/>
        <v>0</v>
      </c>
      <c r="Y109" s="229">
        <f t="shared" si="7"/>
        <v>0</v>
      </c>
    </row>
    <row r="110" spans="1:25">
      <c r="A110" s="229" t="str">
        <f>IF(OR((ABS(D110)&gt;0),(ABS(I110)&gt;0)),基础信息!$B$1,"")</f>
        <v/>
      </c>
      <c r="I110" s="229">
        <f t="shared" si="4"/>
        <v>0</v>
      </c>
      <c r="P110" s="229">
        <f t="shared" si="5"/>
        <v>0</v>
      </c>
      <c r="W110" s="229">
        <f t="shared" si="6"/>
        <v>0</v>
      </c>
      <c r="Y110" s="229">
        <f t="shared" si="7"/>
        <v>0</v>
      </c>
    </row>
    <row r="111" spans="1:25">
      <c r="A111" s="229" t="str">
        <f>IF(OR((ABS(D111)&gt;0),(ABS(I111)&gt;0)),基础信息!$B$1,"")</f>
        <v/>
      </c>
      <c r="I111" s="229">
        <f t="shared" si="4"/>
        <v>0</v>
      </c>
      <c r="P111" s="229">
        <f t="shared" si="5"/>
        <v>0</v>
      </c>
      <c r="W111" s="229">
        <f t="shared" si="6"/>
        <v>0</v>
      </c>
      <c r="Y111" s="229">
        <f t="shared" si="7"/>
        <v>0</v>
      </c>
    </row>
    <row r="112" spans="1:25">
      <c r="A112" s="229" t="str">
        <f>IF(OR((ABS(D112)&gt;0),(ABS(I112)&gt;0)),基础信息!$B$1,"")</f>
        <v/>
      </c>
      <c r="I112" s="229">
        <f t="shared" si="4"/>
        <v>0</v>
      </c>
      <c r="P112" s="229">
        <f t="shared" si="5"/>
        <v>0</v>
      </c>
      <c r="W112" s="229">
        <f t="shared" si="6"/>
        <v>0</v>
      </c>
      <c r="Y112" s="229">
        <f t="shared" si="7"/>
        <v>0</v>
      </c>
    </row>
    <row r="113" spans="1:25">
      <c r="A113" s="229" t="str">
        <f>IF(OR((ABS(D113)&gt;0),(ABS(I113)&gt;0)),基础信息!$B$1,"")</f>
        <v/>
      </c>
      <c r="I113" s="229">
        <f t="shared" si="4"/>
        <v>0</v>
      </c>
      <c r="P113" s="229">
        <f t="shared" si="5"/>
        <v>0</v>
      </c>
      <c r="W113" s="229">
        <f t="shared" si="6"/>
        <v>0</v>
      </c>
      <c r="Y113" s="229">
        <f t="shared" si="7"/>
        <v>0</v>
      </c>
    </row>
    <row r="114" spans="1:25">
      <c r="A114" s="229" t="str">
        <f>IF(OR((ABS(D114)&gt;0),(ABS(I114)&gt;0)),基础信息!$B$1,"")</f>
        <v/>
      </c>
      <c r="I114" s="229">
        <f t="shared" si="4"/>
        <v>0</v>
      </c>
      <c r="P114" s="229">
        <f t="shared" si="5"/>
        <v>0</v>
      </c>
      <c r="W114" s="229">
        <f t="shared" si="6"/>
        <v>0</v>
      </c>
      <c r="Y114" s="229">
        <f t="shared" si="7"/>
        <v>0</v>
      </c>
    </row>
    <row r="115" spans="1:25">
      <c r="A115" s="229" t="str">
        <f>IF(OR((ABS(D115)&gt;0),(ABS(I115)&gt;0)),基础信息!$B$1,"")</f>
        <v/>
      </c>
      <c r="I115" s="229">
        <f t="shared" si="4"/>
        <v>0</v>
      </c>
      <c r="P115" s="229">
        <f t="shared" si="5"/>
        <v>0</v>
      </c>
      <c r="W115" s="229">
        <f t="shared" si="6"/>
        <v>0</v>
      </c>
      <c r="Y115" s="229">
        <f t="shared" si="7"/>
        <v>0</v>
      </c>
    </row>
    <row r="116" spans="1:25">
      <c r="A116" s="229" t="str">
        <f>IF(OR((ABS(D116)&gt;0),(ABS(I116)&gt;0)),基础信息!$B$1,"")</f>
        <v/>
      </c>
      <c r="I116" s="229">
        <f t="shared" si="4"/>
        <v>0</v>
      </c>
      <c r="P116" s="229">
        <f t="shared" si="5"/>
        <v>0</v>
      </c>
      <c r="W116" s="229">
        <f t="shared" si="6"/>
        <v>0</v>
      </c>
      <c r="Y116" s="229">
        <f t="shared" si="7"/>
        <v>0</v>
      </c>
    </row>
    <row r="117" spans="1:25">
      <c r="A117" s="229" t="str">
        <f>IF(OR((ABS(D117)&gt;0),(ABS(I117)&gt;0)),基础信息!$B$1,"")</f>
        <v/>
      </c>
      <c r="I117" s="229">
        <f t="shared" si="4"/>
        <v>0</v>
      </c>
      <c r="P117" s="229">
        <f t="shared" si="5"/>
        <v>0</v>
      </c>
      <c r="W117" s="229">
        <f t="shared" si="6"/>
        <v>0</v>
      </c>
      <c r="Y117" s="229">
        <f t="shared" si="7"/>
        <v>0</v>
      </c>
    </row>
    <row r="118" spans="1:25">
      <c r="A118" s="229" t="str">
        <f>IF(OR((ABS(D118)&gt;0),(ABS(I118)&gt;0)),基础信息!$B$1,"")</f>
        <v/>
      </c>
      <c r="I118" s="229">
        <f t="shared" si="4"/>
        <v>0</v>
      </c>
      <c r="P118" s="229">
        <f t="shared" si="5"/>
        <v>0</v>
      </c>
      <c r="W118" s="229">
        <f t="shared" si="6"/>
        <v>0</v>
      </c>
      <c r="Y118" s="229">
        <f t="shared" si="7"/>
        <v>0</v>
      </c>
    </row>
    <row r="119" spans="1:25">
      <c r="A119" s="229" t="str">
        <f>IF(OR((ABS(D119)&gt;0),(ABS(I119)&gt;0)),基础信息!$B$1,"")</f>
        <v/>
      </c>
      <c r="I119" s="229">
        <f t="shared" si="4"/>
        <v>0</v>
      </c>
      <c r="P119" s="229">
        <f t="shared" si="5"/>
        <v>0</v>
      </c>
      <c r="W119" s="229">
        <f t="shared" si="6"/>
        <v>0</v>
      </c>
      <c r="Y119" s="229">
        <f t="shared" si="7"/>
        <v>0</v>
      </c>
    </row>
    <row r="120" spans="1:25">
      <c r="A120" s="229" t="str">
        <f>IF(OR((ABS(D120)&gt;0),(ABS(I120)&gt;0)),基础信息!$B$1,"")</f>
        <v/>
      </c>
      <c r="I120" s="229">
        <f t="shared" si="4"/>
        <v>0</v>
      </c>
      <c r="P120" s="229">
        <f t="shared" si="5"/>
        <v>0</v>
      </c>
      <c r="W120" s="229">
        <f t="shared" si="6"/>
        <v>0</v>
      </c>
      <c r="Y120" s="229">
        <f t="shared" si="7"/>
        <v>0</v>
      </c>
    </row>
    <row r="121" spans="1:25">
      <c r="A121" s="229" t="str">
        <f>IF(OR((ABS(D121)&gt;0),(ABS(I121)&gt;0)),基础信息!$B$1,"")</f>
        <v/>
      </c>
      <c r="I121" s="229">
        <f t="shared" si="4"/>
        <v>0</v>
      </c>
      <c r="P121" s="229">
        <f t="shared" si="5"/>
        <v>0</v>
      </c>
      <c r="W121" s="229">
        <f t="shared" si="6"/>
        <v>0</v>
      </c>
      <c r="Y121" s="229">
        <f t="shared" si="7"/>
        <v>0</v>
      </c>
    </row>
    <row r="122" spans="1:25">
      <c r="A122" s="229" t="str">
        <f>IF(OR((ABS(D122)&gt;0),(ABS(I122)&gt;0)),基础信息!$B$1,"")</f>
        <v/>
      </c>
      <c r="I122" s="229">
        <f t="shared" si="4"/>
        <v>0</v>
      </c>
      <c r="P122" s="229">
        <f t="shared" si="5"/>
        <v>0</v>
      </c>
      <c r="W122" s="229">
        <f t="shared" si="6"/>
        <v>0</v>
      </c>
      <c r="Y122" s="229">
        <f t="shared" si="7"/>
        <v>0</v>
      </c>
    </row>
    <row r="123" spans="1:25">
      <c r="A123" s="229" t="str">
        <f>IF(OR((ABS(D123)&gt;0),(ABS(I123)&gt;0)),基础信息!$B$1,"")</f>
        <v/>
      </c>
      <c r="I123" s="229">
        <f t="shared" si="4"/>
        <v>0</v>
      </c>
      <c r="P123" s="229">
        <f t="shared" si="5"/>
        <v>0</v>
      </c>
      <c r="W123" s="229">
        <f t="shared" si="6"/>
        <v>0</v>
      </c>
      <c r="Y123" s="229">
        <f t="shared" si="7"/>
        <v>0</v>
      </c>
    </row>
    <row r="124" spans="1:25">
      <c r="A124" s="229" t="str">
        <f>IF(OR((ABS(D124)&gt;0),(ABS(I124)&gt;0)),基础信息!$B$1,"")</f>
        <v/>
      </c>
      <c r="I124" s="229">
        <f t="shared" si="4"/>
        <v>0</v>
      </c>
      <c r="P124" s="229">
        <f t="shared" si="5"/>
        <v>0</v>
      </c>
      <c r="W124" s="229">
        <f t="shared" si="6"/>
        <v>0</v>
      </c>
      <c r="Y124" s="229">
        <f t="shared" si="7"/>
        <v>0</v>
      </c>
    </row>
    <row r="125" spans="1:25">
      <c r="A125" s="229" t="str">
        <f>IF(OR((ABS(D125)&gt;0),(ABS(I125)&gt;0)),基础信息!$B$1,"")</f>
        <v/>
      </c>
      <c r="I125" s="229">
        <f t="shared" si="4"/>
        <v>0</v>
      </c>
      <c r="P125" s="229">
        <f t="shared" si="5"/>
        <v>0</v>
      </c>
      <c r="W125" s="229">
        <f t="shared" si="6"/>
        <v>0</v>
      </c>
      <c r="Y125" s="229">
        <f t="shared" si="7"/>
        <v>0</v>
      </c>
    </row>
    <row r="126" spans="1:25">
      <c r="A126" s="229" t="str">
        <f>IF(OR((ABS(D126)&gt;0),(ABS(I126)&gt;0)),基础信息!$B$1,"")</f>
        <v/>
      </c>
      <c r="I126" s="229">
        <f t="shared" si="4"/>
        <v>0</v>
      </c>
      <c r="P126" s="229">
        <f t="shared" si="5"/>
        <v>0</v>
      </c>
      <c r="W126" s="229">
        <f t="shared" si="6"/>
        <v>0</v>
      </c>
      <c r="Y126" s="229">
        <f t="shared" si="7"/>
        <v>0</v>
      </c>
    </row>
    <row r="127" spans="1:25">
      <c r="A127" s="229" t="str">
        <f>IF(OR((ABS(D127)&gt;0),(ABS(I127)&gt;0)),基础信息!$B$1,"")</f>
        <v/>
      </c>
      <c r="I127" s="229">
        <f t="shared" si="4"/>
        <v>0</v>
      </c>
      <c r="P127" s="229">
        <f t="shared" si="5"/>
        <v>0</v>
      </c>
      <c r="W127" s="229">
        <f t="shared" si="6"/>
        <v>0</v>
      </c>
      <c r="Y127" s="229">
        <f t="shared" si="7"/>
        <v>0</v>
      </c>
    </row>
    <row r="128" spans="1:25">
      <c r="A128" s="229" t="str">
        <f>IF(OR((ABS(D128)&gt;0),(ABS(I128)&gt;0)),基础信息!$B$1,"")</f>
        <v/>
      </c>
      <c r="I128" s="229">
        <f t="shared" si="4"/>
        <v>0</v>
      </c>
      <c r="P128" s="229">
        <f t="shared" si="5"/>
        <v>0</v>
      </c>
      <c r="W128" s="229">
        <f t="shared" si="6"/>
        <v>0</v>
      </c>
      <c r="Y128" s="229">
        <f t="shared" si="7"/>
        <v>0</v>
      </c>
    </row>
    <row r="129" spans="1:25">
      <c r="A129" s="229" t="str">
        <f>IF(OR((ABS(D129)&gt;0),(ABS(I129)&gt;0)),基础信息!$B$1,"")</f>
        <v/>
      </c>
      <c r="I129" s="229">
        <f t="shared" si="4"/>
        <v>0</v>
      </c>
      <c r="P129" s="229">
        <f t="shared" si="5"/>
        <v>0</v>
      </c>
      <c r="W129" s="229">
        <f t="shared" si="6"/>
        <v>0</v>
      </c>
      <c r="Y129" s="229">
        <f t="shared" si="7"/>
        <v>0</v>
      </c>
    </row>
    <row r="130" spans="1:25">
      <c r="A130" s="229" t="str">
        <f>IF(OR((ABS(D130)&gt;0),(ABS(I130)&gt;0)),基础信息!$B$1,"")</f>
        <v/>
      </c>
      <c r="I130" s="229">
        <f t="shared" si="4"/>
        <v>0</v>
      </c>
      <c r="P130" s="229">
        <f t="shared" si="5"/>
        <v>0</v>
      </c>
      <c r="W130" s="229">
        <f t="shared" si="6"/>
        <v>0</v>
      </c>
      <c r="Y130" s="229">
        <f t="shared" si="7"/>
        <v>0</v>
      </c>
    </row>
    <row r="131" spans="1:25">
      <c r="A131" s="229" t="str">
        <f>IF(OR((ABS(D131)&gt;0),(ABS(I131)&gt;0)),基础信息!$B$1,"")</f>
        <v/>
      </c>
      <c r="I131" s="229">
        <f t="shared" ref="I131:I185" si="8">D131+F131+G131-H131</f>
        <v>0</v>
      </c>
      <c r="P131" s="229">
        <f t="shared" ref="P131:P185" si="9">SUM(Q131:V131)</f>
        <v>0</v>
      </c>
      <c r="W131" s="229">
        <f t="shared" ref="W131:W185" si="10">I131-P131</f>
        <v>0</v>
      </c>
      <c r="Y131" s="229">
        <f t="shared" ref="Y131:Y185" si="11">SUM(J131:O131)-I131</f>
        <v>0</v>
      </c>
    </row>
    <row r="132" spans="1:25">
      <c r="A132" s="229" t="str">
        <f>IF(OR((ABS(D132)&gt;0),(ABS(I132)&gt;0)),基础信息!$B$1,"")</f>
        <v/>
      </c>
      <c r="I132" s="229">
        <f t="shared" si="8"/>
        <v>0</v>
      </c>
      <c r="P132" s="229">
        <f t="shared" si="9"/>
        <v>0</v>
      </c>
      <c r="W132" s="229">
        <f t="shared" si="10"/>
        <v>0</v>
      </c>
      <c r="Y132" s="229">
        <f t="shared" si="11"/>
        <v>0</v>
      </c>
    </row>
    <row r="133" spans="1:25">
      <c r="A133" s="229" t="str">
        <f>IF(OR((ABS(D133)&gt;0),(ABS(I133)&gt;0)),基础信息!$B$1,"")</f>
        <v/>
      </c>
      <c r="I133" s="229">
        <f t="shared" si="8"/>
        <v>0</v>
      </c>
      <c r="P133" s="229">
        <f t="shared" si="9"/>
        <v>0</v>
      </c>
      <c r="W133" s="229">
        <f t="shared" si="10"/>
        <v>0</v>
      </c>
      <c r="Y133" s="229">
        <f t="shared" si="11"/>
        <v>0</v>
      </c>
    </row>
    <row r="134" spans="1:25">
      <c r="A134" s="229" t="str">
        <f>IF(OR((ABS(D134)&gt;0),(ABS(I134)&gt;0)),基础信息!$B$1,"")</f>
        <v/>
      </c>
      <c r="I134" s="229">
        <f t="shared" si="8"/>
        <v>0</v>
      </c>
      <c r="P134" s="229">
        <f t="shared" si="9"/>
        <v>0</v>
      </c>
      <c r="W134" s="229">
        <f t="shared" si="10"/>
        <v>0</v>
      </c>
      <c r="Y134" s="229">
        <f t="shared" si="11"/>
        <v>0</v>
      </c>
    </row>
    <row r="135" spans="1:25">
      <c r="A135" s="229" t="str">
        <f>IF(OR((ABS(D135)&gt;0),(ABS(I135)&gt;0)),基础信息!$B$1,"")</f>
        <v/>
      </c>
      <c r="I135" s="229">
        <f t="shared" si="8"/>
        <v>0</v>
      </c>
      <c r="P135" s="229">
        <f t="shared" si="9"/>
        <v>0</v>
      </c>
      <c r="W135" s="229">
        <f t="shared" si="10"/>
        <v>0</v>
      </c>
      <c r="Y135" s="229">
        <f t="shared" si="11"/>
        <v>0</v>
      </c>
    </row>
    <row r="136" spans="1:25">
      <c r="A136" s="229" t="str">
        <f>IF(OR((ABS(D136)&gt;0),(ABS(I136)&gt;0)),基础信息!$B$1,"")</f>
        <v/>
      </c>
      <c r="I136" s="229">
        <f t="shared" si="8"/>
        <v>0</v>
      </c>
      <c r="P136" s="229">
        <f t="shared" si="9"/>
        <v>0</v>
      </c>
      <c r="W136" s="229">
        <f t="shared" si="10"/>
        <v>0</v>
      </c>
      <c r="Y136" s="229">
        <f t="shared" si="11"/>
        <v>0</v>
      </c>
    </row>
    <row r="137" spans="1:25">
      <c r="A137" s="229" t="str">
        <f>IF(OR((ABS(D137)&gt;0),(ABS(I137)&gt;0)),基础信息!$B$1,"")</f>
        <v/>
      </c>
      <c r="I137" s="229">
        <f t="shared" si="8"/>
        <v>0</v>
      </c>
      <c r="P137" s="229">
        <f t="shared" si="9"/>
        <v>0</v>
      </c>
      <c r="W137" s="229">
        <f t="shared" si="10"/>
        <v>0</v>
      </c>
      <c r="Y137" s="229">
        <f t="shared" si="11"/>
        <v>0</v>
      </c>
    </row>
    <row r="138" spans="1:25">
      <c r="A138" s="229" t="str">
        <f>IF(OR((ABS(D138)&gt;0),(ABS(I138)&gt;0)),基础信息!$B$1,"")</f>
        <v/>
      </c>
      <c r="I138" s="229">
        <f t="shared" si="8"/>
        <v>0</v>
      </c>
      <c r="P138" s="229">
        <f t="shared" si="9"/>
        <v>0</v>
      </c>
      <c r="W138" s="229">
        <f t="shared" si="10"/>
        <v>0</v>
      </c>
      <c r="Y138" s="229">
        <f t="shared" si="11"/>
        <v>0</v>
      </c>
    </row>
    <row r="139" spans="1:25">
      <c r="A139" s="229" t="str">
        <f>IF(OR((ABS(D139)&gt;0),(ABS(I139)&gt;0)),基础信息!$B$1,"")</f>
        <v/>
      </c>
      <c r="I139" s="229">
        <f t="shared" si="8"/>
        <v>0</v>
      </c>
      <c r="P139" s="229">
        <f t="shared" si="9"/>
        <v>0</v>
      </c>
      <c r="W139" s="229">
        <f t="shared" si="10"/>
        <v>0</v>
      </c>
      <c r="Y139" s="229">
        <f t="shared" si="11"/>
        <v>0</v>
      </c>
    </row>
    <row r="140" spans="1:25">
      <c r="A140" s="229" t="str">
        <f>IF(OR((ABS(D140)&gt;0),(ABS(I140)&gt;0)),基础信息!$B$1,"")</f>
        <v/>
      </c>
      <c r="I140" s="229">
        <f t="shared" si="8"/>
        <v>0</v>
      </c>
      <c r="P140" s="229">
        <f t="shared" si="9"/>
        <v>0</v>
      </c>
      <c r="W140" s="229">
        <f t="shared" si="10"/>
        <v>0</v>
      </c>
      <c r="Y140" s="229">
        <f t="shared" si="11"/>
        <v>0</v>
      </c>
    </row>
    <row r="141" spans="1:25">
      <c r="A141" s="229" t="str">
        <f>IF(OR((ABS(D141)&gt;0),(ABS(I141)&gt;0)),基础信息!$B$1,"")</f>
        <v/>
      </c>
      <c r="I141" s="229">
        <f t="shared" si="8"/>
        <v>0</v>
      </c>
      <c r="P141" s="229">
        <f t="shared" si="9"/>
        <v>0</v>
      </c>
      <c r="W141" s="229">
        <f t="shared" si="10"/>
        <v>0</v>
      </c>
      <c r="Y141" s="229">
        <f t="shared" si="11"/>
        <v>0</v>
      </c>
    </row>
    <row r="142" spans="1:25">
      <c r="A142" s="229" t="str">
        <f>IF(OR((ABS(D142)&gt;0),(ABS(I142)&gt;0)),基础信息!$B$1,"")</f>
        <v/>
      </c>
      <c r="I142" s="229">
        <f t="shared" si="8"/>
        <v>0</v>
      </c>
      <c r="P142" s="229">
        <f t="shared" si="9"/>
        <v>0</v>
      </c>
      <c r="W142" s="229">
        <f t="shared" si="10"/>
        <v>0</v>
      </c>
      <c r="Y142" s="229">
        <f t="shared" si="11"/>
        <v>0</v>
      </c>
    </row>
    <row r="143" spans="1:25">
      <c r="A143" s="229" t="str">
        <f>IF(OR((ABS(D143)&gt;0),(ABS(I143)&gt;0)),基础信息!$B$1,"")</f>
        <v/>
      </c>
      <c r="I143" s="229">
        <f t="shared" si="8"/>
        <v>0</v>
      </c>
      <c r="P143" s="229">
        <f t="shared" si="9"/>
        <v>0</v>
      </c>
      <c r="W143" s="229">
        <f t="shared" si="10"/>
        <v>0</v>
      </c>
      <c r="Y143" s="229">
        <f t="shared" si="11"/>
        <v>0</v>
      </c>
    </row>
    <row r="144" spans="1:25">
      <c r="A144" s="229" t="str">
        <f>IF(OR((ABS(D144)&gt;0),(ABS(I144)&gt;0)),基础信息!$B$1,"")</f>
        <v/>
      </c>
      <c r="I144" s="229">
        <f t="shared" si="8"/>
        <v>0</v>
      </c>
      <c r="P144" s="229">
        <f t="shared" si="9"/>
        <v>0</v>
      </c>
      <c r="W144" s="229">
        <f t="shared" si="10"/>
        <v>0</v>
      </c>
      <c r="Y144" s="229">
        <f t="shared" si="11"/>
        <v>0</v>
      </c>
    </row>
    <row r="145" spans="1:25">
      <c r="A145" s="229" t="str">
        <f>IF(OR((ABS(D145)&gt;0),(ABS(I145)&gt;0)),基础信息!$B$1,"")</f>
        <v/>
      </c>
      <c r="I145" s="229">
        <f t="shared" si="8"/>
        <v>0</v>
      </c>
      <c r="P145" s="229">
        <f t="shared" si="9"/>
        <v>0</v>
      </c>
      <c r="W145" s="229">
        <f t="shared" si="10"/>
        <v>0</v>
      </c>
      <c r="Y145" s="229">
        <f t="shared" si="11"/>
        <v>0</v>
      </c>
    </row>
    <row r="146" spans="1:25">
      <c r="A146" s="229" t="str">
        <f>IF(OR((ABS(D146)&gt;0),(ABS(I146)&gt;0)),基础信息!$B$1,"")</f>
        <v/>
      </c>
      <c r="I146" s="229">
        <f t="shared" si="8"/>
        <v>0</v>
      </c>
      <c r="P146" s="229">
        <f t="shared" si="9"/>
        <v>0</v>
      </c>
      <c r="W146" s="229">
        <f t="shared" si="10"/>
        <v>0</v>
      </c>
      <c r="Y146" s="229">
        <f t="shared" si="11"/>
        <v>0</v>
      </c>
    </row>
    <row r="147" spans="1:25">
      <c r="A147" s="229" t="str">
        <f>IF(OR((ABS(D147)&gt;0),(ABS(I147)&gt;0)),基础信息!$B$1,"")</f>
        <v/>
      </c>
      <c r="I147" s="229">
        <f t="shared" si="8"/>
        <v>0</v>
      </c>
      <c r="P147" s="229">
        <f t="shared" si="9"/>
        <v>0</v>
      </c>
      <c r="W147" s="229">
        <f t="shared" si="10"/>
        <v>0</v>
      </c>
      <c r="Y147" s="229">
        <f t="shared" si="11"/>
        <v>0</v>
      </c>
    </row>
    <row r="148" spans="1:25">
      <c r="A148" s="229" t="str">
        <f>IF(OR((ABS(D148)&gt;0),(ABS(I148)&gt;0)),基础信息!$B$1,"")</f>
        <v/>
      </c>
      <c r="I148" s="229">
        <f t="shared" si="8"/>
        <v>0</v>
      </c>
      <c r="P148" s="229">
        <f t="shared" si="9"/>
        <v>0</v>
      </c>
      <c r="W148" s="229">
        <f t="shared" si="10"/>
        <v>0</v>
      </c>
      <c r="Y148" s="229">
        <f t="shared" si="11"/>
        <v>0</v>
      </c>
    </row>
    <row r="149" spans="1:25">
      <c r="A149" s="229" t="str">
        <f>IF(OR((ABS(D149)&gt;0),(ABS(I149)&gt;0)),基础信息!$B$1,"")</f>
        <v/>
      </c>
      <c r="I149" s="229">
        <f t="shared" si="8"/>
        <v>0</v>
      </c>
      <c r="P149" s="229">
        <f t="shared" si="9"/>
        <v>0</v>
      </c>
      <c r="W149" s="229">
        <f t="shared" si="10"/>
        <v>0</v>
      </c>
      <c r="Y149" s="229">
        <f t="shared" si="11"/>
        <v>0</v>
      </c>
    </row>
    <row r="150" spans="1:25">
      <c r="A150" s="229" t="str">
        <f>IF(OR((ABS(D150)&gt;0),(ABS(I150)&gt;0)),基础信息!$B$1,"")</f>
        <v/>
      </c>
      <c r="I150" s="229">
        <f t="shared" si="8"/>
        <v>0</v>
      </c>
      <c r="P150" s="229">
        <f t="shared" si="9"/>
        <v>0</v>
      </c>
      <c r="W150" s="229">
        <f t="shared" si="10"/>
        <v>0</v>
      </c>
      <c r="Y150" s="229">
        <f t="shared" si="11"/>
        <v>0</v>
      </c>
    </row>
    <row r="151" spans="1:25">
      <c r="A151" s="229" t="str">
        <f>IF(OR((ABS(D151)&gt;0),(ABS(I151)&gt;0)),基础信息!$B$1,"")</f>
        <v/>
      </c>
      <c r="I151" s="229">
        <f t="shared" si="8"/>
        <v>0</v>
      </c>
      <c r="P151" s="229">
        <f t="shared" si="9"/>
        <v>0</v>
      </c>
      <c r="W151" s="229">
        <f t="shared" si="10"/>
        <v>0</v>
      </c>
      <c r="Y151" s="229">
        <f t="shared" si="11"/>
        <v>0</v>
      </c>
    </row>
    <row r="152" spans="1:25">
      <c r="A152" s="229" t="str">
        <f>IF(OR((ABS(D152)&gt;0),(ABS(I152)&gt;0)),基础信息!$B$1,"")</f>
        <v/>
      </c>
      <c r="I152" s="229">
        <f t="shared" si="8"/>
        <v>0</v>
      </c>
      <c r="P152" s="229">
        <f t="shared" si="9"/>
        <v>0</v>
      </c>
      <c r="W152" s="229">
        <f t="shared" si="10"/>
        <v>0</v>
      </c>
      <c r="Y152" s="229">
        <f t="shared" si="11"/>
        <v>0</v>
      </c>
    </row>
    <row r="153" spans="1:25">
      <c r="A153" s="229" t="str">
        <f>IF(OR((ABS(D153)&gt;0),(ABS(I153)&gt;0)),基础信息!$B$1,"")</f>
        <v/>
      </c>
      <c r="I153" s="229">
        <f t="shared" si="8"/>
        <v>0</v>
      </c>
      <c r="P153" s="229">
        <f t="shared" si="9"/>
        <v>0</v>
      </c>
      <c r="W153" s="229">
        <f t="shared" si="10"/>
        <v>0</v>
      </c>
      <c r="Y153" s="229">
        <f t="shared" si="11"/>
        <v>0</v>
      </c>
    </row>
    <row r="154" spans="1:25">
      <c r="A154" s="229" t="str">
        <f>IF(OR((ABS(D154)&gt;0),(ABS(I154)&gt;0)),基础信息!$B$1,"")</f>
        <v/>
      </c>
      <c r="I154" s="229">
        <f t="shared" si="8"/>
        <v>0</v>
      </c>
      <c r="P154" s="229">
        <f t="shared" si="9"/>
        <v>0</v>
      </c>
      <c r="W154" s="229">
        <f t="shared" si="10"/>
        <v>0</v>
      </c>
      <c r="Y154" s="229">
        <f t="shared" si="11"/>
        <v>0</v>
      </c>
    </row>
    <row r="155" spans="1:25">
      <c r="A155" s="229" t="str">
        <f>IF(OR((ABS(D155)&gt;0),(ABS(I155)&gt;0)),基础信息!$B$1,"")</f>
        <v/>
      </c>
      <c r="I155" s="229">
        <f t="shared" si="8"/>
        <v>0</v>
      </c>
      <c r="P155" s="229">
        <f t="shared" si="9"/>
        <v>0</v>
      </c>
      <c r="W155" s="229">
        <f t="shared" si="10"/>
        <v>0</v>
      </c>
      <c r="Y155" s="229">
        <f t="shared" si="11"/>
        <v>0</v>
      </c>
    </row>
    <row r="156" spans="1:25">
      <c r="A156" s="229" t="str">
        <f>IF(OR((ABS(D156)&gt;0),(ABS(I156)&gt;0)),基础信息!$B$1,"")</f>
        <v/>
      </c>
      <c r="I156" s="229">
        <f t="shared" si="8"/>
        <v>0</v>
      </c>
      <c r="P156" s="229">
        <f t="shared" si="9"/>
        <v>0</v>
      </c>
      <c r="W156" s="229">
        <f t="shared" si="10"/>
        <v>0</v>
      </c>
      <c r="Y156" s="229">
        <f t="shared" si="11"/>
        <v>0</v>
      </c>
    </row>
    <row r="157" spans="1:25">
      <c r="A157" s="229" t="str">
        <f>IF(OR((ABS(D157)&gt;0),(ABS(I157)&gt;0)),基础信息!$B$1,"")</f>
        <v/>
      </c>
      <c r="I157" s="229">
        <f t="shared" si="8"/>
        <v>0</v>
      </c>
      <c r="P157" s="229">
        <f t="shared" si="9"/>
        <v>0</v>
      </c>
      <c r="W157" s="229">
        <f t="shared" si="10"/>
        <v>0</v>
      </c>
      <c r="Y157" s="229">
        <f t="shared" si="11"/>
        <v>0</v>
      </c>
    </row>
    <row r="158" spans="1:25">
      <c r="A158" s="229" t="str">
        <f>IF(OR((ABS(D158)&gt;0),(ABS(I158)&gt;0)),基础信息!$B$1,"")</f>
        <v/>
      </c>
      <c r="I158" s="229">
        <f t="shared" si="8"/>
        <v>0</v>
      </c>
      <c r="P158" s="229">
        <f t="shared" si="9"/>
        <v>0</v>
      </c>
      <c r="W158" s="229">
        <f t="shared" si="10"/>
        <v>0</v>
      </c>
      <c r="Y158" s="229">
        <f t="shared" si="11"/>
        <v>0</v>
      </c>
    </row>
    <row r="159" spans="1:25">
      <c r="A159" s="229" t="str">
        <f>IF(OR((ABS(D159)&gt;0),(ABS(I159)&gt;0)),基础信息!$B$1,"")</f>
        <v/>
      </c>
      <c r="I159" s="229">
        <f t="shared" si="8"/>
        <v>0</v>
      </c>
      <c r="P159" s="229">
        <f t="shared" si="9"/>
        <v>0</v>
      </c>
      <c r="W159" s="229">
        <f t="shared" si="10"/>
        <v>0</v>
      </c>
      <c r="Y159" s="229">
        <f t="shared" si="11"/>
        <v>0</v>
      </c>
    </row>
    <row r="160" spans="1:25">
      <c r="A160" s="229" t="str">
        <f>IF(OR((ABS(D160)&gt;0),(ABS(I160)&gt;0)),基础信息!$B$1,"")</f>
        <v/>
      </c>
      <c r="I160" s="229">
        <f t="shared" si="8"/>
        <v>0</v>
      </c>
      <c r="P160" s="229">
        <f t="shared" si="9"/>
        <v>0</v>
      </c>
      <c r="W160" s="229">
        <f t="shared" si="10"/>
        <v>0</v>
      </c>
      <c r="Y160" s="229">
        <f t="shared" si="11"/>
        <v>0</v>
      </c>
    </row>
    <row r="161" spans="1:25">
      <c r="A161" s="229" t="str">
        <f>IF(OR((ABS(D161)&gt;0),(ABS(I161)&gt;0)),基础信息!$B$1,"")</f>
        <v/>
      </c>
      <c r="I161" s="229">
        <f t="shared" si="8"/>
        <v>0</v>
      </c>
      <c r="P161" s="229">
        <f t="shared" si="9"/>
        <v>0</v>
      </c>
      <c r="W161" s="229">
        <f t="shared" si="10"/>
        <v>0</v>
      </c>
      <c r="Y161" s="229">
        <f t="shared" si="11"/>
        <v>0</v>
      </c>
    </row>
    <row r="162" spans="1:25">
      <c r="A162" s="229" t="str">
        <f>IF(OR((ABS(D162)&gt;0),(ABS(I162)&gt;0)),基础信息!$B$1,"")</f>
        <v/>
      </c>
      <c r="I162" s="229">
        <f t="shared" si="8"/>
        <v>0</v>
      </c>
      <c r="P162" s="229">
        <f t="shared" si="9"/>
        <v>0</v>
      </c>
      <c r="W162" s="229">
        <f t="shared" si="10"/>
        <v>0</v>
      </c>
      <c r="Y162" s="229">
        <f t="shared" si="11"/>
        <v>0</v>
      </c>
    </row>
    <row r="163" spans="1:25">
      <c r="A163" s="229" t="str">
        <f>IF(OR((ABS(D163)&gt;0),(ABS(I163)&gt;0)),基础信息!$B$1,"")</f>
        <v/>
      </c>
      <c r="I163" s="229">
        <f t="shared" si="8"/>
        <v>0</v>
      </c>
      <c r="P163" s="229">
        <f t="shared" si="9"/>
        <v>0</v>
      </c>
      <c r="W163" s="229">
        <f t="shared" si="10"/>
        <v>0</v>
      </c>
      <c r="Y163" s="229">
        <f t="shared" si="11"/>
        <v>0</v>
      </c>
    </row>
    <row r="164" spans="1:25">
      <c r="A164" s="229" t="str">
        <f>IF(OR((ABS(D164)&gt;0),(ABS(I164)&gt;0)),基础信息!$B$1,"")</f>
        <v/>
      </c>
      <c r="I164" s="229">
        <f t="shared" si="8"/>
        <v>0</v>
      </c>
      <c r="P164" s="229">
        <f t="shared" si="9"/>
        <v>0</v>
      </c>
      <c r="W164" s="229">
        <f t="shared" si="10"/>
        <v>0</v>
      </c>
      <c r="Y164" s="229">
        <f t="shared" si="11"/>
        <v>0</v>
      </c>
    </row>
    <row r="165" spans="1:25">
      <c r="A165" s="229" t="str">
        <f>IF(OR((ABS(D165)&gt;0),(ABS(I165)&gt;0)),基础信息!$B$1,"")</f>
        <v/>
      </c>
      <c r="I165" s="229">
        <f t="shared" si="8"/>
        <v>0</v>
      </c>
      <c r="P165" s="229">
        <f t="shared" si="9"/>
        <v>0</v>
      </c>
      <c r="W165" s="229">
        <f t="shared" si="10"/>
        <v>0</v>
      </c>
      <c r="Y165" s="229">
        <f t="shared" si="11"/>
        <v>0</v>
      </c>
    </row>
    <row r="166" spans="1:25">
      <c r="A166" s="229" t="str">
        <f>IF(OR((ABS(D166)&gt;0),(ABS(I166)&gt;0)),基础信息!$B$1,"")</f>
        <v/>
      </c>
      <c r="I166" s="229">
        <f t="shared" si="8"/>
        <v>0</v>
      </c>
      <c r="P166" s="229">
        <f t="shared" si="9"/>
        <v>0</v>
      </c>
      <c r="W166" s="229">
        <f t="shared" si="10"/>
        <v>0</v>
      </c>
      <c r="Y166" s="229">
        <f t="shared" si="11"/>
        <v>0</v>
      </c>
    </row>
    <row r="167" spans="1:25">
      <c r="A167" s="229" t="str">
        <f>IF(OR((ABS(D167)&gt;0),(ABS(I167)&gt;0)),基础信息!$B$1,"")</f>
        <v/>
      </c>
      <c r="I167" s="229">
        <f t="shared" si="8"/>
        <v>0</v>
      </c>
      <c r="P167" s="229">
        <f t="shared" si="9"/>
        <v>0</v>
      </c>
      <c r="W167" s="229">
        <f t="shared" si="10"/>
        <v>0</v>
      </c>
      <c r="Y167" s="229">
        <f t="shared" si="11"/>
        <v>0</v>
      </c>
    </row>
    <row r="168" spans="1:25">
      <c r="A168" s="229" t="str">
        <f>IF(OR((ABS(D168)&gt;0),(ABS(I168)&gt;0)),基础信息!$B$1,"")</f>
        <v/>
      </c>
      <c r="I168" s="229">
        <f t="shared" si="8"/>
        <v>0</v>
      </c>
      <c r="P168" s="229">
        <f t="shared" si="9"/>
        <v>0</v>
      </c>
      <c r="W168" s="229">
        <f t="shared" si="10"/>
        <v>0</v>
      </c>
      <c r="Y168" s="229">
        <f t="shared" si="11"/>
        <v>0</v>
      </c>
    </row>
    <row r="169" spans="1:25">
      <c r="A169" s="229" t="str">
        <f>IF(OR((ABS(D169)&gt;0),(ABS(I169)&gt;0)),基础信息!$B$1,"")</f>
        <v/>
      </c>
      <c r="I169" s="229">
        <f t="shared" si="8"/>
        <v>0</v>
      </c>
      <c r="P169" s="229">
        <f t="shared" si="9"/>
        <v>0</v>
      </c>
      <c r="W169" s="229">
        <f t="shared" si="10"/>
        <v>0</v>
      </c>
      <c r="Y169" s="229">
        <f t="shared" si="11"/>
        <v>0</v>
      </c>
    </row>
    <row r="170" spans="1:25">
      <c r="A170" s="229" t="str">
        <f>IF(OR((ABS(D170)&gt;0),(ABS(I170)&gt;0)),基础信息!$B$1,"")</f>
        <v/>
      </c>
      <c r="I170" s="229">
        <f t="shared" si="8"/>
        <v>0</v>
      </c>
      <c r="P170" s="229">
        <f t="shared" si="9"/>
        <v>0</v>
      </c>
      <c r="W170" s="229">
        <f t="shared" si="10"/>
        <v>0</v>
      </c>
      <c r="Y170" s="229">
        <f t="shared" si="11"/>
        <v>0</v>
      </c>
    </row>
    <row r="171" spans="1:25">
      <c r="A171" s="229" t="str">
        <f>IF(OR((ABS(D171)&gt;0),(ABS(I171)&gt;0)),基础信息!$B$1,"")</f>
        <v/>
      </c>
      <c r="I171" s="229">
        <f t="shared" si="8"/>
        <v>0</v>
      </c>
      <c r="P171" s="229">
        <f t="shared" si="9"/>
        <v>0</v>
      </c>
      <c r="W171" s="229">
        <f t="shared" si="10"/>
        <v>0</v>
      </c>
      <c r="Y171" s="229">
        <f t="shared" si="11"/>
        <v>0</v>
      </c>
    </row>
    <row r="172" spans="1:25">
      <c r="A172" s="229" t="str">
        <f>IF(OR((ABS(D172)&gt;0),(ABS(I172)&gt;0)),基础信息!$B$1,"")</f>
        <v/>
      </c>
      <c r="I172" s="229">
        <f t="shared" si="8"/>
        <v>0</v>
      </c>
      <c r="P172" s="229">
        <f t="shared" si="9"/>
        <v>0</v>
      </c>
      <c r="W172" s="229">
        <f t="shared" si="10"/>
        <v>0</v>
      </c>
      <c r="Y172" s="229">
        <f t="shared" si="11"/>
        <v>0</v>
      </c>
    </row>
    <row r="173" spans="1:25">
      <c r="A173" s="229" t="str">
        <f>IF(OR((ABS(D173)&gt;0),(ABS(I173)&gt;0)),基础信息!$B$1,"")</f>
        <v/>
      </c>
      <c r="I173" s="229">
        <f t="shared" si="8"/>
        <v>0</v>
      </c>
      <c r="P173" s="229">
        <f t="shared" si="9"/>
        <v>0</v>
      </c>
      <c r="W173" s="229">
        <f t="shared" si="10"/>
        <v>0</v>
      </c>
      <c r="Y173" s="229">
        <f t="shared" si="11"/>
        <v>0</v>
      </c>
    </row>
    <row r="174" spans="1:25">
      <c r="A174" s="229" t="str">
        <f>IF(OR((ABS(D174)&gt;0),(ABS(I174)&gt;0)),基础信息!$B$1,"")</f>
        <v/>
      </c>
      <c r="I174" s="229">
        <f t="shared" si="8"/>
        <v>0</v>
      </c>
      <c r="P174" s="229">
        <f t="shared" si="9"/>
        <v>0</v>
      </c>
      <c r="W174" s="229">
        <f t="shared" si="10"/>
        <v>0</v>
      </c>
      <c r="Y174" s="229">
        <f t="shared" si="11"/>
        <v>0</v>
      </c>
    </row>
    <row r="175" spans="1:25">
      <c r="A175" s="229" t="str">
        <f>IF(OR((ABS(D175)&gt;0),(ABS(I175)&gt;0)),基础信息!$B$1,"")</f>
        <v/>
      </c>
      <c r="I175" s="229">
        <f t="shared" si="8"/>
        <v>0</v>
      </c>
      <c r="P175" s="229">
        <f t="shared" si="9"/>
        <v>0</v>
      </c>
      <c r="W175" s="229">
        <f t="shared" si="10"/>
        <v>0</v>
      </c>
      <c r="Y175" s="229">
        <f t="shared" si="11"/>
        <v>0</v>
      </c>
    </row>
    <row r="176" spans="1:25">
      <c r="A176" s="229" t="str">
        <f>IF(OR((ABS(D176)&gt;0),(ABS(I176)&gt;0)),基础信息!$B$1,"")</f>
        <v/>
      </c>
      <c r="I176" s="229">
        <f t="shared" si="8"/>
        <v>0</v>
      </c>
      <c r="P176" s="229">
        <f t="shared" si="9"/>
        <v>0</v>
      </c>
      <c r="W176" s="229">
        <f t="shared" si="10"/>
        <v>0</v>
      </c>
      <c r="Y176" s="229">
        <f t="shared" si="11"/>
        <v>0</v>
      </c>
    </row>
    <row r="177" spans="1:25">
      <c r="A177" s="229" t="str">
        <f>IF(OR((ABS(D177)&gt;0),(ABS(I177)&gt;0)),基础信息!$B$1,"")</f>
        <v/>
      </c>
      <c r="I177" s="229">
        <f t="shared" si="8"/>
        <v>0</v>
      </c>
      <c r="P177" s="229">
        <f t="shared" si="9"/>
        <v>0</v>
      </c>
      <c r="W177" s="229">
        <f t="shared" si="10"/>
        <v>0</v>
      </c>
      <c r="Y177" s="229">
        <f t="shared" si="11"/>
        <v>0</v>
      </c>
    </row>
    <row r="178" spans="1:25">
      <c r="A178" s="229" t="str">
        <f>IF(OR((ABS(D178)&gt;0),(ABS(I178)&gt;0)),基础信息!$B$1,"")</f>
        <v/>
      </c>
      <c r="I178" s="229">
        <f t="shared" si="8"/>
        <v>0</v>
      </c>
      <c r="P178" s="229">
        <f t="shared" si="9"/>
        <v>0</v>
      </c>
      <c r="W178" s="229">
        <f t="shared" si="10"/>
        <v>0</v>
      </c>
      <c r="Y178" s="229">
        <f t="shared" si="11"/>
        <v>0</v>
      </c>
    </row>
    <row r="179" spans="1:25">
      <c r="A179" s="229" t="str">
        <f>IF(OR((ABS(D179)&gt;0),(ABS(I179)&gt;0)),基础信息!$B$1,"")</f>
        <v/>
      </c>
      <c r="I179" s="229">
        <f t="shared" si="8"/>
        <v>0</v>
      </c>
      <c r="P179" s="229">
        <f t="shared" si="9"/>
        <v>0</v>
      </c>
      <c r="W179" s="229">
        <f t="shared" si="10"/>
        <v>0</v>
      </c>
      <c r="Y179" s="229">
        <f t="shared" si="11"/>
        <v>0</v>
      </c>
    </row>
    <row r="180" spans="1:25">
      <c r="A180" s="229" t="str">
        <f>IF(OR((ABS(D180)&gt;0),(ABS(I180)&gt;0)),基础信息!$B$1,"")</f>
        <v/>
      </c>
      <c r="I180" s="229">
        <f t="shared" si="8"/>
        <v>0</v>
      </c>
      <c r="P180" s="229">
        <f t="shared" si="9"/>
        <v>0</v>
      </c>
      <c r="W180" s="229">
        <f t="shared" si="10"/>
        <v>0</v>
      </c>
      <c r="Y180" s="229">
        <f t="shared" si="11"/>
        <v>0</v>
      </c>
    </row>
    <row r="181" spans="1:25">
      <c r="A181" s="229" t="str">
        <f>IF(OR((ABS(D181)&gt;0),(ABS(I181)&gt;0)),基础信息!$B$1,"")</f>
        <v/>
      </c>
      <c r="I181" s="229">
        <f t="shared" si="8"/>
        <v>0</v>
      </c>
      <c r="P181" s="229">
        <f t="shared" si="9"/>
        <v>0</v>
      </c>
      <c r="W181" s="229">
        <f t="shared" si="10"/>
        <v>0</v>
      </c>
      <c r="Y181" s="229">
        <f t="shared" si="11"/>
        <v>0</v>
      </c>
    </row>
    <row r="182" spans="1:25">
      <c r="A182" s="229" t="str">
        <f>IF(OR((ABS(D182)&gt;0),(ABS(I182)&gt;0)),基础信息!$B$1,"")</f>
        <v/>
      </c>
      <c r="I182" s="229">
        <f t="shared" si="8"/>
        <v>0</v>
      </c>
      <c r="P182" s="229">
        <f t="shared" si="9"/>
        <v>0</v>
      </c>
      <c r="W182" s="229">
        <f t="shared" si="10"/>
        <v>0</v>
      </c>
      <c r="Y182" s="229">
        <f t="shared" si="11"/>
        <v>0</v>
      </c>
    </row>
    <row r="183" spans="1:25">
      <c r="A183" s="229" t="str">
        <f>IF(OR((ABS(D183)&gt;0),(ABS(I183)&gt;0)),基础信息!$B$1,"")</f>
        <v/>
      </c>
      <c r="I183" s="229">
        <f t="shared" si="8"/>
        <v>0</v>
      </c>
      <c r="P183" s="229">
        <f t="shared" si="9"/>
        <v>0</v>
      </c>
      <c r="W183" s="229">
        <f t="shared" si="10"/>
        <v>0</v>
      </c>
      <c r="Y183" s="229">
        <f t="shared" si="11"/>
        <v>0</v>
      </c>
    </row>
    <row r="184" spans="1:25">
      <c r="A184" s="229" t="str">
        <f>IF(OR((ABS(D184)&gt;0),(ABS(I184)&gt;0)),基础信息!$B$1,"")</f>
        <v/>
      </c>
      <c r="I184" s="229">
        <f t="shared" si="8"/>
        <v>0</v>
      </c>
      <c r="P184" s="229">
        <f t="shared" si="9"/>
        <v>0</v>
      </c>
      <c r="W184" s="229">
        <f t="shared" si="10"/>
        <v>0</v>
      </c>
      <c r="Y184" s="229">
        <f t="shared" si="11"/>
        <v>0</v>
      </c>
    </row>
    <row r="185" spans="1:25">
      <c r="A185" s="229" t="str">
        <f>IF(OR((ABS(D185)&gt;0),(ABS(I185)&gt;0)),基础信息!$B$1,"")</f>
        <v/>
      </c>
      <c r="I185" s="229">
        <f t="shared" si="8"/>
        <v>0</v>
      </c>
      <c r="P185" s="229">
        <f t="shared" si="9"/>
        <v>0</v>
      </c>
      <c r="W185" s="229">
        <f t="shared" si="10"/>
        <v>0</v>
      </c>
      <c r="Y185" s="229">
        <f t="shared" si="1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3F6C2-1691-410C-8FAA-849866D4E5C0}">
          <x14:formula1>
            <xm:f>分类表!$9:$9</xm:f>
          </x14:formula1>
          <xm:sqref>C2:C24</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codeName="Sheet125">
    <tabColor rgb="FFFFC000"/>
  </sheetPr>
  <dimension ref="A1:C34"/>
  <sheetViews>
    <sheetView topLeftCell="A25" workbookViewId="0">
      <selection activeCell="C34" sqref="C34"/>
    </sheetView>
  </sheetViews>
  <sheetFormatPr defaultRowHeight="13.8"/>
  <cols>
    <col min="1" max="1" width="24.88671875" style="18" bestFit="1" customWidth="1"/>
    <col min="2" max="3" width="10.6640625" style="1" bestFit="1" customWidth="1"/>
    <col min="4" max="16384" width="8.88671875" style="18"/>
  </cols>
  <sheetData>
    <row r="1" spans="1:3">
      <c r="A1" s="18" t="s">
        <v>232</v>
      </c>
      <c r="B1" s="1" t="s">
        <v>390</v>
      </c>
      <c r="C1" s="1" t="s">
        <v>578</v>
      </c>
    </row>
    <row r="2" spans="1:3">
      <c r="A2" s="150" t="s">
        <v>2403</v>
      </c>
      <c r="B2" s="1">
        <f>ROUND(SUMIF(其他应收款明细表!F:F,A2,其他应收款明细表!H:H),2)</f>
        <v>0</v>
      </c>
      <c r="C2" s="138"/>
    </row>
    <row r="3" spans="1:3">
      <c r="A3" t="s">
        <v>2152</v>
      </c>
      <c r="B3" s="1">
        <f>ROUND(SUMIF(其他应收款明细表!F:F,A3,其他应收款明细表!H:H),2)</f>
        <v>0</v>
      </c>
      <c r="C3" s="138"/>
    </row>
    <row r="4" spans="1:3">
      <c r="A4" t="s">
        <v>2153</v>
      </c>
      <c r="B4" s="1">
        <f>ROUND(SUMIF(其他应收款明细表!F:F,A4,其他应收款明细表!H:H),2)</f>
        <v>0</v>
      </c>
      <c r="C4" s="138"/>
    </row>
    <row r="5" spans="1:3">
      <c r="A5" t="s">
        <v>2154</v>
      </c>
      <c r="B5" s="1">
        <f>ROUND(SUMIF(其他应收款明细表!F:F,A5,其他应收款明细表!H:H),2)</f>
        <v>0</v>
      </c>
      <c r="C5" s="138"/>
    </row>
    <row r="6" spans="1:3">
      <c r="A6" t="s">
        <v>2155</v>
      </c>
      <c r="B6" s="1">
        <f>ROUND(SUMIF(其他应收款明细表!F:F,A6,其他应收款明细表!H:H),2)</f>
        <v>0</v>
      </c>
      <c r="C6" s="138"/>
    </row>
    <row r="7" spans="1:3">
      <c r="A7" t="s">
        <v>2156</v>
      </c>
      <c r="B7" s="1">
        <f>ROUND(SUMIF(其他应收款明细表!F:F,A7,其他应收款明细表!H:H),2)</f>
        <v>0</v>
      </c>
      <c r="C7" s="138"/>
    </row>
    <row r="8" spans="1:3">
      <c r="A8" t="s">
        <v>2157</v>
      </c>
      <c r="B8" s="1">
        <f>ROUND(SUMIF(其他应收款明细表!F:F,A8,其他应收款明细表!H:H),2)</f>
        <v>0</v>
      </c>
      <c r="C8" s="138"/>
    </row>
    <row r="9" spans="1:3">
      <c r="A9" t="s">
        <v>2158</v>
      </c>
      <c r="B9" s="1">
        <f>ROUND(SUMIF(其他应收款明细表!F:F,A9,其他应收款明细表!H:H),2)</f>
        <v>0</v>
      </c>
      <c r="C9" s="138"/>
    </row>
    <row r="10" spans="1:3">
      <c r="A10" t="s">
        <v>2159</v>
      </c>
      <c r="B10" s="1">
        <f>ROUND(SUMIF(其他应收款明细表!F:F,A10,其他应收款明细表!H:H),2)</f>
        <v>0</v>
      </c>
      <c r="C10" s="138"/>
    </row>
    <row r="11" spans="1:3">
      <c r="A11" t="s">
        <v>2160</v>
      </c>
      <c r="B11" s="1">
        <f>ROUND(SUMIF(其他应收款明细表!F:F,A11,其他应收款明细表!H:H),2)</f>
        <v>0</v>
      </c>
      <c r="C11" s="138"/>
    </row>
    <row r="12" spans="1:3">
      <c r="A12" t="s">
        <v>2161</v>
      </c>
      <c r="B12" s="1">
        <f>ROUND(SUMIF(其他应收款明细表!F:F,A12,其他应收款明细表!H:H),2)</f>
        <v>0</v>
      </c>
      <c r="C12" s="138"/>
    </row>
    <row r="13" spans="1:3">
      <c r="A13" t="s">
        <v>2162</v>
      </c>
      <c r="B13" s="1">
        <f>ROUND(SUMIF(其他应收款明细表!F:F,A13,其他应收款明细表!H:H),2)</f>
        <v>0</v>
      </c>
      <c r="C13" s="138"/>
    </row>
    <row r="14" spans="1:3">
      <c r="A14" t="s">
        <v>2163</v>
      </c>
      <c r="B14" s="1">
        <f>ROUND(SUMIF(其他应收款明细表!F:F,A14,其他应收款明细表!H:H),2)</f>
        <v>0</v>
      </c>
      <c r="C14" s="138"/>
    </row>
    <row r="15" spans="1:3">
      <c r="A15" t="s">
        <v>2164</v>
      </c>
      <c r="B15" s="1">
        <f>ROUND(SUMIF(其他应收款明细表!F:F,A15,其他应收款明细表!H:H),2)</f>
        <v>0</v>
      </c>
      <c r="C15" s="138"/>
    </row>
    <row r="16" spans="1:3">
      <c r="A16" t="s">
        <v>2165</v>
      </c>
      <c r="B16" s="1">
        <f>ROUND(SUMIF(其他应收款明细表!F:F,A16,其他应收款明细表!H:H),2)</f>
        <v>0</v>
      </c>
      <c r="C16" s="138"/>
    </row>
    <row r="17" spans="1:3">
      <c r="A17" t="s">
        <v>2166</v>
      </c>
      <c r="B17" s="1">
        <f>ROUND(SUMIF(其他应收款明细表!F:F,A17,其他应收款明细表!H:H),2)</f>
        <v>0</v>
      </c>
      <c r="C17" s="138"/>
    </row>
    <row r="18" spans="1:3">
      <c r="A18" t="s">
        <v>2167</v>
      </c>
      <c r="B18" s="1">
        <f>ROUND(SUMIF(其他应收款明细表!F:F,A18,其他应收款明细表!H:H),2)</f>
        <v>0</v>
      </c>
      <c r="C18" s="138"/>
    </row>
    <row r="19" spans="1:3">
      <c r="A19" t="s">
        <v>2168</v>
      </c>
      <c r="B19" s="1">
        <f>ROUND(SUMIF(其他应收款明细表!F:F,A19,其他应收款明细表!H:H),2)</f>
        <v>0</v>
      </c>
      <c r="C19" s="138"/>
    </row>
    <row r="20" spans="1:3">
      <c r="A20" t="s">
        <v>2169</v>
      </c>
      <c r="B20" s="1">
        <f>ROUND(SUMIF(其他应收款明细表!F:F,A20,其他应收款明细表!H:H),2)</f>
        <v>0</v>
      </c>
      <c r="C20" s="138"/>
    </row>
    <row r="21" spans="1:3">
      <c r="A21" t="s">
        <v>2170</v>
      </c>
      <c r="B21" s="1">
        <f>ROUND(SUMIF(其他应收款明细表!F:F,A21,其他应收款明细表!H:H),2)</f>
        <v>0</v>
      </c>
      <c r="C21" s="138"/>
    </row>
    <row r="22" spans="1:3">
      <c r="A22" t="s">
        <v>2171</v>
      </c>
      <c r="B22" s="1">
        <f>ROUND(SUMIF(其他应收款明细表!F:F,A22,其他应收款明细表!H:H),2)</f>
        <v>0</v>
      </c>
      <c r="C22" s="138"/>
    </row>
    <row r="23" spans="1:3">
      <c r="A23" t="s">
        <v>2172</v>
      </c>
      <c r="B23" s="1">
        <f>ROUND(SUMIF(其他应收款明细表!F:F,A23,其他应收款明细表!H:H),2)</f>
        <v>0</v>
      </c>
      <c r="C23" s="138"/>
    </row>
    <row r="24" spans="1:3">
      <c r="A24" t="s">
        <v>2173</v>
      </c>
      <c r="B24" s="1">
        <f>ROUND(SUMIF(其他应收款明细表!F:F,A24,其他应收款明细表!H:H),2)</f>
        <v>0</v>
      </c>
      <c r="C24" s="138"/>
    </row>
    <row r="25" spans="1:3">
      <c r="A25" t="s">
        <v>2174</v>
      </c>
      <c r="B25" s="1">
        <f>ROUND(SUMIF(其他应收款明细表!F:F,A25,其他应收款明细表!H:H),2)</f>
        <v>0</v>
      </c>
      <c r="C25" s="138"/>
    </row>
    <row r="26" spans="1:3">
      <c r="A26" t="s">
        <v>2175</v>
      </c>
      <c r="B26" s="1">
        <f>ROUND(SUMIF(其他应收款明细表!F:F,A26,其他应收款明细表!H:H),2)</f>
        <v>0</v>
      </c>
      <c r="C26" s="138"/>
    </row>
    <row r="27" spans="1:3">
      <c r="A27" t="s">
        <v>2176</v>
      </c>
      <c r="B27" s="1">
        <f>ROUND(SUMIF(其他应收款明细表!F:F,A27,其他应收款明细表!H:H),2)</f>
        <v>0</v>
      </c>
      <c r="C27" s="138"/>
    </row>
    <row r="28" spans="1:3">
      <c r="A28" t="s">
        <v>2177</v>
      </c>
      <c r="B28" s="1">
        <f>ROUND(SUMIF(其他应收款明细表!F:F,A28,其他应收款明细表!H:H),2)</f>
        <v>0</v>
      </c>
      <c r="C28" s="138"/>
    </row>
    <row r="29" spans="1:3">
      <c r="A29" t="s">
        <v>2178</v>
      </c>
      <c r="B29" s="1">
        <f>ROUND(SUMIF(其他应收款明细表!F:F,A29,其他应收款明细表!H:H),2)</f>
        <v>0</v>
      </c>
      <c r="C29" s="138"/>
    </row>
    <row r="30" spans="1:3">
      <c r="A30" t="s">
        <v>2179</v>
      </c>
      <c r="B30" s="1">
        <f>ROUND(SUMIF(其他应收款明细表!F:F,A30,其他应收款明细表!H:H),2)</f>
        <v>0</v>
      </c>
      <c r="C30" s="138"/>
    </row>
    <row r="31" spans="1:3">
      <c r="A31" t="s">
        <v>2180</v>
      </c>
      <c r="B31" s="1">
        <f>ROUND(SUMIF(其他应收款明细表!F:F,A31,其他应收款明细表!H:H),2)</f>
        <v>0</v>
      </c>
      <c r="C31" s="138"/>
    </row>
    <row r="32" spans="1:3">
      <c r="A32" t="s">
        <v>2181</v>
      </c>
      <c r="B32" s="1">
        <f>ROUND(SUMIF(其他应收款明细表!F:F,A32,其他应收款明细表!H:H),2)</f>
        <v>0</v>
      </c>
      <c r="C32" s="138"/>
    </row>
    <row r="33" spans="1:3">
      <c r="A33" t="s">
        <v>202</v>
      </c>
      <c r="B33" s="1">
        <f>ROUND(SUMIF(其他应收款明细表!F:F,A33,其他应收款明细表!H:H),2)</f>
        <v>0</v>
      </c>
      <c r="C33" s="138"/>
    </row>
    <row r="34" spans="1:3">
      <c r="A34" s="18" t="s">
        <v>2404</v>
      </c>
      <c r="B34" s="1">
        <f>ROUND(SUM(B2:B33),2)</f>
        <v>0</v>
      </c>
      <c r="C34" s="1">
        <f>ROUND(SUM(C2:C33),2)</f>
        <v>0</v>
      </c>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codeName="Sheet120">
    <tabColor rgb="FFFFC000"/>
  </sheetPr>
  <dimension ref="A1:F19"/>
  <sheetViews>
    <sheetView workbookViewId="0">
      <selection activeCell="F15" sqref="F15"/>
    </sheetView>
  </sheetViews>
  <sheetFormatPr defaultRowHeight="13.8"/>
  <cols>
    <col min="1" max="1" width="8.88671875" style="18"/>
    <col min="2" max="2" width="13.88671875" style="18" bestFit="1" customWidth="1"/>
    <col min="3" max="5" width="8.88671875" style="18"/>
    <col min="6" max="6" width="10.44140625" style="18" bestFit="1" customWidth="1"/>
    <col min="7" max="16384" width="8.88671875" style="18"/>
  </cols>
  <sheetData>
    <row r="1" spans="1:6">
      <c r="A1" s="18" t="s">
        <v>28</v>
      </c>
      <c r="B1" s="18" t="s">
        <v>245</v>
      </c>
    </row>
    <row r="2" spans="1:6">
      <c r="A2" s="18" t="s">
        <v>258</v>
      </c>
      <c r="B2" s="136">
        <f>ROUND(SUM(其他应收款明细表!I:I),2)</f>
        <v>0</v>
      </c>
    </row>
    <row r="3" spans="1:6">
      <c r="A3" s="18" t="s">
        <v>259</v>
      </c>
      <c r="B3" s="136">
        <f>ROUND(SUM(其他应收款明细表!J:J),2)</f>
        <v>0</v>
      </c>
    </row>
    <row r="4" spans="1:6">
      <c r="A4" s="18" t="s">
        <v>260</v>
      </c>
      <c r="B4" s="136">
        <f>ROUND(SUM(其他应收款明细表!K:K),2)</f>
        <v>0</v>
      </c>
    </row>
    <row r="5" spans="1:6">
      <c r="A5" s="18" t="s">
        <v>294</v>
      </c>
      <c r="B5" s="136">
        <f>ROUND(SUM(其他应收款明细表!L:L),2)</f>
        <v>0</v>
      </c>
    </row>
    <row r="6" spans="1:6">
      <c r="A6" s="18" t="s">
        <v>295</v>
      </c>
      <c r="B6" s="136">
        <f>ROUND(SUM(其他应收款明细表!M:M),2)</f>
        <v>0</v>
      </c>
    </row>
    <row r="7" spans="1:6">
      <c r="A7" s="18" t="s">
        <v>296</v>
      </c>
      <c r="B7" s="136">
        <f>ROUND(SUM(其他应收款明细表!N:N),2)</f>
        <v>0</v>
      </c>
    </row>
    <row r="8" spans="1:6">
      <c r="A8" s="18" t="s">
        <v>262</v>
      </c>
      <c r="B8" s="1">
        <f>ROUND(SUM(B2:B7),2)</f>
        <v>0</v>
      </c>
    </row>
    <row r="16" spans="1:6">
      <c r="F16" s="240"/>
    </row>
    <row r="17" spans="6:6">
      <c r="F17" s="240"/>
    </row>
    <row r="18" spans="6:6">
      <c r="F18" s="240"/>
    </row>
    <row r="19" spans="6:6">
      <c r="F19" s="240"/>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9020-0A05-41D6-9DA0-8C6D6C74B4D3}">
  <sheetPr codeName="Sheet121">
    <tabColor rgb="FFFFC000"/>
  </sheetPr>
  <dimension ref="A1:E13"/>
  <sheetViews>
    <sheetView workbookViewId="0">
      <selection activeCell="L28" sqref="L2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297</v>
      </c>
      <c r="C1" s="18" t="s">
        <v>298</v>
      </c>
      <c r="D1" s="18" t="s">
        <v>299</v>
      </c>
      <c r="E1" s="18" t="s">
        <v>204</v>
      </c>
    </row>
    <row r="2" spans="1:5">
      <c r="A2" s="18" t="s">
        <v>246</v>
      </c>
      <c r="B2" s="138">
        <f>ROUND(SUMIF(其他应收款减值准备明细表!$C:$C,其他应收款坏账准备变动情况!B$1,其他应收款减值准备明细表!$D:$D),2)</f>
        <v>0</v>
      </c>
      <c r="C2" s="138">
        <f>ROUND(SUMIF(其他应收款减值准备明细表!$C:$C,其他应收款坏账准备变动情况!C$1,其他应收款减值准备明细表!$D:$D),2)</f>
        <v>0</v>
      </c>
      <c r="D2" s="138">
        <f>ROUND(SUMIF(其他应收款减值准备明细表!$C:$C,其他应收款坏账准备变动情况!D$1,其他应收款减值准备明细表!$D:$D),2)</f>
        <v>0</v>
      </c>
      <c r="E2" s="133">
        <f t="shared" ref="E2:E12" si="0">ROUND(SUM(B2:D2),2)</f>
        <v>0</v>
      </c>
    </row>
    <row r="3" spans="1:5">
      <c r="A3" s="18" t="s">
        <v>305</v>
      </c>
      <c r="B3" s="138">
        <f>ROUND(SUMIF(其他应收款减值准备明细表!$C:$C,其他应收款坏账准备变动情况!B$1,其他应收款减值准备明细表!$E:$E),2)</f>
        <v>0</v>
      </c>
      <c r="C3" s="138">
        <f>ROUND(SUMIF(其他应收款减值准备明细表!$C:$C,其他应收款坏账准备变动情况!C$1,其他应收款减值准备明细表!$E:$E),2)</f>
        <v>0</v>
      </c>
      <c r="D3" s="138">
        <f>ROUND(SUMIF(其他应收款减值准备明细表!$C:$C,其他应收款坏账准备变动情况!D$1,其他应收款减值准备明细表!$E:$E),2)</f>
        <v>0</v>
      </c>
      <c r="E3" s="133">
        <f t="shared" si="0"/>
        <v>0</v>
      </c>
    </row>
    <row r="4" spans="1:5">
      <c r="A4" s="57" t="s">
        <v>306</v>
      </c>
      <c r="B4" s="138">
        <f>ROUND(SUMIF(其他应收款减值准备明细表!$C:$C,其他应收款坏账准备变动情况!B$1,其他应收款减值准备明细表!$F:$F),2)</f>
        <v>0</v>
      </c>
      <c r="C4" s="138">
        <f>ROUND(SUMIF(其他应收款减值准备明细表!$C:$C,其他应收款坏账准备变动情况!C$1,其他应收款减值准备明细表!$F:$F),2)</f>
        <v>0</v>
      </c>
      <c r="D4" s="138">
        <f>ROUND(SUMIF(其他应收款减值准备明细表!$C:$C,其他应收款坏账准备变动情况!D$1,其他应收款减值准备明细表!$F:$F),2)</f>
        <v>0</v>
      </c>
      <c r="E4" s="133">
        <f t="shared" si="0"/>
        <v>0</v>
      </c>
    </row>
    <row r="5" spans="1:5">
      <c r="A5" s="57" t="s">
        <v>307</v>
      </c>
      <c r="B5" s="138">
        <f>ROUND(SUMIF(其他应收款减值准备明细表!$C:$C,其他应收款坏账准备变动情况!B$1,其他应收款减值准备明细表!$G:$G),2)</f>
        <v>0</v>
      </c>
      <c r="C5" s="138">
        <f>ROUND(SUMIF(其他应收款减值准备明细表!$C:$C,其他应收款坏账准备变动情况!C$1,其他应收款减值准备明细表!$G:$G),2)</f>
        <v>0</v>
      </c>
      <c r="D5" s="138">
        <f>ROUND(SUMIF(其他应收款减值准备明细表!$C:$C,其他应收款坏账准备变动情况!D$1,其他应收款减值准备明细表!$G:$G),2)</f>
        <v>0</v>
      </c>
      <c r="E5" s="133">
        <f t="shared" si="0"/>
        <v>0</v>
      </c>
    </row>
    <row r="6" spans="1:5">
      <c r="A6" s="57" t="s">
        <v>308</v>
      </c>
      <c r="B6" s="138">
        <f>ROUND(SUMIF(其他应收款减值准备明细表!$C:$C,其他应收款坏账准备变动情况!B$1,其他应收款减值准备明细表!$H:$H),2)</f>
        <v>0</v>
      </c>
      <c r="C6" s="138">
        <f>ROUND(SUMIF(其他应收款减值准备明细表!$C:$C,其他应收款坏账准备变动情况!C$1,其他应收款减值准备明细表!$H:$H),2)</f>
        <v>0</v>
      </c>
      <c r="D6" s="138">
        <f>ROUND(SUMIF(其他应收款减值准备明细表!$C:$C,其他应收款坏账准备变动情况!D$1,其他应收款减值准备明细表!$H:$H),2)</f>
        <v>0</v>
      </c>
      <c r="E6" s="133">
        <f t="shared" si="0"/>
        <v>0</v>
      </c>
    </row>
    <row r="7" spans="1:5">
      <c r="A7" s="57" t="s">
        <v>309</v>
      </c>
      <c r="B7" s="138">
        <f>ROUND(SUMIF(其他应收款减值准备明细表!$C:$C,其他应收款坏账准备变动情况!B$1,其他应收款减值准备明细表!$I:$I),2)</f>
        <v>0</v>
      </c>
      <c r="C7" s="138">
        <f>ROUND(SUMIF(其他应收款减值准备明细表!$C:$C,其他应收款坏账准备变动情况!C$1,其他应收款减值准备明细表!$I:$I),2)</f>
        <v>0</v>
      </c>
      <c r="D7" s="138">
        <f>ROUND(SUMIF(其他应收款减值准备明细表!$C:$C,其他应收款坏账准备变动情况!D$1,其他应收款减值准备明细表!$I:$I),2)</f>
        <v>0</v>
      </c>
      <c r="E7" s="133">
        <f t="shared" si="0"/>
        <v>0</v>
      </c>
    </row>
    <row r="8" spans="1:5">
      <c r="A8" s="18" t="s">
        <v>300</v>
      </c>
      <c r="B8" s="138">
        <f>ROUND(SUMIF(其他应收款减值准备明细表!$C:$C,其他应收款坏账准备变动情况!B$1,其他应收款减值准备明细表!$J:$J),2)</f>
        <v>0</v>
      </c>
      <c r="C8" s="138">
        <f>ROUND(SUMIF(其他应收款减值准备明细表!$C:$C,其他应收款坏账准备变动情况!C$1,其他应收款减值准备明细表!$J:$J),2)</f>
        <v>0</v>
      </c>
      <c r="D8" s="138">
        <f>ROUND(SUMIF(其他应收款减值准备明细表!$C:$C,其他应收款坏账准备变动情况!D$1,其他应收款减值准备明细表!$J:$J),2)</f>
        <v>0</v>
      </c>
      <c r="E8" s="133">
        <f t="shared" si="0"/>
        <v>0</v>
      </c>
    </row>
    <row r="9" spans="1:5">
      <c r="A9" s="18" t="s">
        <v>301</v>
      </c>
      <c r="B9" s="138">
        <f>ROUND(SUMIF(其他应收款减值准备明细表!$C:$C,其他应收款坏账准备变动情况!B$1,其他应收款减值准备明细表!$K:$K),2)</f>
        <v>0</v>
      </c>
      <c r="C9" s="138">
        <f>ROUND(SUMIF(其他应收款减值准备明细表!$C:$C,其他应收款坏账准备变动情况!C$1,其他应收款减值准备明细表!$K:$K),2)</f>
        <v>0</v>
      </c>
      <c r="D9" s="138">
        <f>ROUND(SUMIF(其他应收款减值准备明细表!$C:$C,其他应收款坏账准备变动情况!D$1,其他应收款减值准备明细表!$K:$K),2)</f>
        <v>0</v>
      </c>
      <c r="E9" s="133">
        <f t="shared" si="0"/>
        <v>0</v>
      </c>
    </row>
    <row r="10" spans="1:5">
      <c r="A10" s="18" t="s">
        <v>302</v>
      </c>
      <c r="B10" s="138">
        <f>ROUND(SUMIF(其他应收款减值准备明细表!$C:$C,其他应收款坏账准备变动情况!B$1,其他应收款减值准备明细表!$L:$L),2)</f>
        <v>0</v>
      </c>
      <c r="C10" s="138">
        <f>ROUND(SUMIF(其他应收款减值准备明细表!$C:$C,其他应收款坏账准备变动情况!C$1,其他应收款减值准备明细表!$L:$L),2)</f>
        <v>0</v>
      </c>
      <c r="D10" s="138">
        <f>ROUND(SUMIF(其他应收款减值准备明细表!$C:$C,其他应收款坏账准备变动情况!D$1,其他应收款减值准备明细表!$L:$L),2)</f>
        <v>0</v>
      </c>
      <c r="E10" s="133">
        <f t="shared" si="0"/>
        <v>0</v>
      </c>
    </row>
    <row r="11" spans="1:5">
      <c r="A11" s="18" t="s">
        <v>303</v>
      </c>
      <c r="B11" s="138">
        <f>ROUND(SUMIF(其他应收款减值准备明细表!$C:$C,其他应收款坏账准备变动情况!B$1,其他应收款减值准备明细表!$M:$M),2)</f>
        <v>0</v>
      </c>
      <c r="C11" s="138">
        <f>ROUND(SUMIF(其他应收款减值准备明细表!$C:$C,其他应收款坏账准备变动情况!C$1,其他应收款减值准备明细表!$M:$M),2)</f>
        <v>0</v>
      </c>
      <c r="D11" s="138">
        <f>ROUND(SUMIF(其他应收款减值准备明细表!$C:$C,其他应收款坏账准备变动情况!D$1,其他应收款减值准备明细表!$M:$M),2)</f>
        <v>0</v>
      </c>
      <c r="E11" s="133">
        <f t="shared" si="0"/>
        <v>0</v>
      </c>
    </row>
    <row r="12" spans="1:5">
      <c r="A12" s="18" t="s">
        <v>304</v>
      </c>
      <c r="B12" s="138">
        <f>ROUND(SUMIF(其他应收款减值准备明细表!$C:$C,其他应收款坏账准备变动情况!B$1,其他应收款减值准备明细表!$N:$N),2)</f>
        <v>0</v>
      </c>
      <c r="C12" s="138">
        <f>ROUND(SUMIF(其他应收款减值准备明细表!$C:$C,其他应收款坏账准备变动情况!C$1,其他应收款减值准备明细表!$N:$N),2)</f>
        <v>0</v>
      </c>
      <c r="D12" s="138">
        <f>ROUND(SUMIF(其他应收款减值准备明细表!$C:$C,其他应收款坏账准备变动情况!D$1,其他应收款减值准备明细表!$N:$N),2)</f>
        <v>0</v>
      </c>
      <c r="E12" s="133">
        <f t="shared" si="0"/>
        <v>0</v>
      </c>
    </row>
    <row r="13" spans="1:5">
      <c r="A13" s="18" t="s">
        <v>245</v>
      </c>
      <c r="B13" s="133">
        <f>ROUND(SUM(B4:B12,B2),2)</f>
        <v>0</v>
      </c>
      <c r="C13" s="133">
        <f>ROUND(SUM(C4:C12,C2),2)</f>
        <v>0</v>
      </c>
      <c r="D13" s="133">
        <f>ROUND(SUM(D4:D12,D2),2)</f>
        <v>0</v>
      </c>
      <c r="E13" s="133">
        <f>ROUND(SUM(E4:E12,E2),2)</f>
        <v>0</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B6EF-8C67-4844-9C32-0099797E6CDF}">
  <sheetPr codeName="Sheet122"/>
  <dimension ref="A1:O18"/>
  <sheetViews>
    <sheetView workbookViewId="0">
      <selection activeCell="I26" sqref="I26"/>
    </sheetView>
  </sheetViews>
  <sheetFormatPr defaultRowHeight="13.8"/>
  <cols>
    <col min="2" max="2" width="9.5546875" bestFit="1" customWidth="1"/>
    <col min="3" max="3" width="9.5546875" customWidth="1"/>
    <col min="5" max="9" width="16.109375" style="229" bestFit="1" customWidth="1"/>
    <col min="10" max="11" width="9.5546875" style="229" bestFit="1" customWidth="1"/>
    <col min="12" max="15" width="8.88671875" style="229"/>
  </cols>
  <sheetData>
    <row r="1" spans="1:15">
      <c r="A1" t="s">
        <v>2383</v>
      </c>
      <c r="B1" t="s">
        <v>337</v>
      </c>
      <c r="C1" t="s">
        <v>3500</v>
      </c>
      <c r="D1" t="s">
        <v>578</v>
      </c>
      <c r="E1" s="229" t="s">
        <v>3495</v>
      </c>
      <c r="F1" s="229" t="s">
        <v>3496</v>
      </c>
      <c r="G1" s="229" t="s">
        <v>3497</v>
      </c>
      <c r="H1" s="229" t="s">
        <v>3498</v>
      </c>
      <c r="I1" s="229" t="s">
        <v>3499</v>
      </c>
      <c r="J1" s="229" t="s">
        <v>300</v>
      </c>
      <c r="K1" s="229" t="s">
        <v>301</v>
      </c>
      <c r="L1" s="229" t="s">
        <v>302</v>
      </c>
      <c r="M1" s="229" t="s">
        <v>303</v>
      </c>
      <c r="N1" s="229" t="s">
        <v>304</v>
      </c>
      <c r="O1" s="229" t="s">
        <v>390</v>
      </c>
    </row>
    <row r="2" spans="1:15">
      <c r="A2" s="229" t="str">
        <f>IF(OR(K2&gt;0,S2&gt;0),基础信息!$B$1,"")</f>
        <v/>
      </c>
      <c r="B2" s="255"/>
      <c r="C2" s="276"/>
      <c r="D2" s="255"/>
      <c r="E2" s="229">
        <f>SUM(F2:I2)</f>
        <v>0</v>
      </c>
      <c r="F2" s="288"/>
      <c r="G2" s="288"/>
      <c r="H2" s="288"/>
      <c r="I2" s="288"/>
      <c r="J2" s="288"/>
      <c r="K2" s="288"/>
      <c r="L2" s="288"/>
      <c r="M2" s="288"/>
      <c r="N2" s="288"/>
      <c r="O2" s="229">
        <f>SUM(F2:N2,D2)</f>
        <v>0</v>
      </c>
    </row>
    <row r="3" spans="1:15">
      <c r="A3" s="229" t="str">
        <f>IF(OR(K3&gt;0,S3&gt;0),基础信息!$B$1,"")</f>
        <v/>
      </c>
      <c r="B3" s="255"/>
      <c r="C3" s="276"/>
      <c r="D3" s="255"/>
      <c r="E3" s="229">
        <f t="shared" ref="E3:E18" si="0">SUM(F3:I3)</f>
        <v>0</v>
      </c>
      <c r="F3" s="288"/>
      <c r="G3" s="288"/>
      <c r="H3" s="288"/>
      <c r="I3" s="288"/>
      <c r="J3" s="288"/>
      <c r="K3" s="288"/>
      <c r="L3" s="288"/>
      <c r="M3" s="288"/>
      <c r="N3" s="288"/>
      <c r="O3" s="229">
        <f t="shared" ref="O3:O18" si="1">SUM(F3:N3,D3)</f>
        <v>0</v>
      </c>
    </row>
    <row r="4" spans="1:15">
      <c r="A4" s="229" t="str">
        <f>IF(OR(K4&gt;0,S4&gt;0),基础信息!$B$1,"")</f>
        <v/>
      </c>
      <c r="B4" s="255"/>
      <c r="C4" s="276"/>
      <c r="D4" s="255"/>
      <c r="E4" s="229">
        <f t="shared" si="0"/>
        <v>0</v>
      </c>
      <c r="F4" s="288"/>
      <c r="G4" s="288"/>
      <c r="H4" s="288"/>
      <c r="I4" s="288"/>
      <c r="J4" s="288"/>
      <c r="K4" s="288"/>
      <c r="L4" s="288"/>
      <c r="M4" s="288"/>
      <c r="N4" s="288"/>
      <c r="O4" s="229">
        <f t="shared" si="1"/>
        <v>0</v>
      </c>
    </row>
    <row r="5" spans="1:15">
      <c r="A5" s="229" t="str">
        <f>IF(OR(K5&gt;0,S5&gt;0),基础信息!$B$1,"")</f>
        <v/>
      </c>
      <c r="B5" s="255"/>
      <c r="C5" s="276"/>
      <c r="D5" s="255"/>
      <c r="E5" s="229">
        <f t="shared" si="0"/>
        <v>0</v>
      </c>
      <c r="F5" s="288"/>
      <c r="G5" s="288"/>
      <c r="H5" s="288"/>
      <c r="I5" s="288"/>
      <c r="J5" s="288"/>
      <c r="K5" s="288"/>
      <c r="L5" s="288"/>
      <c r="M5" s="288"/>
      <c r="N5" s="288"/>
      <c r="O5" s="229">
        <f t="shared" si="1"/>
        <v>0</v>
      </c>
    </row>
    <row r="6" spans="1:15">
      <c r="A6" s="229" t="str">
        <f>IF(OR(K6&gt;0,S6&gt;0),基础信息!$B$1,"")</f>
        <v/>
      </c>
      <c r="B6" s="255"/>
      <c r="C6" s="276"/>
      <c r="D6" s="255"/>
      <c r="E6" s="229">
        <f t="shared" si="0"/>
        <v>0</v>
      </c>
      <c r="F6" s="288"/>
      <c r="G6" s="288"/>
      <c r="H6" s="288"/>
      <c r="I6" s="288"/>
      <c r="J6" s="288"/>
      <c r="K6" s="288"/>
      <c r="L6" s="288"/>
      <c r="M6" s="288"/>
      <c r="N6" s="288"/>
      <c r="O6" s="229">
        <f t="shared" si="1"/>
        <v>0</v>
      </c>
    </row>
    <row r="7" spans="1:15">
      <c r="A7" s="229" t="str">
        <f>IF(OR(K7&gt;0,S7&gt;0),基础信息!$B$1,"")</f>
        <v/>
      </c>
      <c r="B7" s="255"/>
      <c r="C7" s="276"/>
      <c r="D7" s="255"/>
      <c r="E7" s="229">
        <f t="shared" si="0"/>
        <v>0</v>
      </c>
      <c r="F7" s="288"/>
      <c r="G7" s="288"/>
      <c r="H7" s="288"/>
      <c r="I7" s="288"/>
      <c r="J7" s="288"/>
      <c r="K7" s="288"/>
      <c r="L7" s="288"/>
      <c r="M7" s="288"/>
      <c r="N7" s="288"/>
      <c r="O7" s="229">
        <f t="shared" si="1"/>
        <v>0</v>
      </c>
    </row>
    <row r="8" spans="1:15">
      <c r="A8" s="229" t="str">
        <f>IF(OR(K8&gt;0,S8&gt;0),基础信息!$B$1,"")</f>
        <v/>
      </c>
      <c r="B8" s="255"/>
      <c r="C8" s="276"/>
      <c r="D8" s="255"/>
      <c r="E8" s="229">
        <f t="shared" si="0"/>
        <v>0</v>
      </c>
      <c r="F8" s="288"/>
      <c r="G8" s="288"/>
      <c r="H8" s="288"/>
      <c r="I8" s="288"/>
      <c r="J8" s="288"/>
      <c r="K8" s="288"/>
      <c r="L8" s="288"/>
      <c r="M8" s="288"/>
      <c r="N8" s="288"/>
      <c r="O8" s="229">
        <f t="shared" si="1"/>
        <v>0</v>
      </c>
    </row>
    <row r="9" spans="1:15">
      <c r="A9" s="229" t="str">
        <f>IF(OR(K9&gt;0,S9&gt;0),基础信息!$B$1,"")</f>
        <v/>
      </c>
      <c r="B9" s="255"/>
      <c r="C9" s="276"/>
      <c r="D9" s="255"/>
      <c r="E9" s="229">
        <f t="shared" si="0"/>
        <v>0</v>
      </c>
      <c r="F9" s="288"/>
      <c r="G9" s="288"/>
      <c r="H9" s="288"/>
      <c r="I9" s="288"/>
      <c r="J9" s="288"/>
      <c r="K9" s="288"/>
      <c r="L9" s="288"/>
      <c r="M9" s="288"/>
      <c r="N9" s="288"/>
      <c r="O9" s="229">
        <f t="shared" si="1"/>
        <v>0</v>
      </c>
    </row>
    <row r="10" spans="1:15">
      <c r="A10" s="229" t="str">
        <f>IF(OR(K10&gt;0,S10&gt;0),基础信息!$B$1,"")</f>
        <v/>
      </c>
      <c r="B10" s="255"/>
      <c r="C10" s="276"/>
      <c r="D10" s="255"/>
      <c r="E10" s="229">
        <f t="shared" si="0"/>
        <v>0</v>
      </c>
      <c r="F10" s="288"/>
      <c r="G10" s="288"/>
      <c r="H10" s="288"/>
      <c r="I10" s="288"/>
      <c r="J10" s="288"/>
      <c r="K10" s="288"/>
      <c r="L10" s="288"/>
      <c r="M10" s="288"/>
      <c r="N10" s="288"/>
      <c r="O10" s="229">
        <f t="shared" si="1"/>
        <v>0</v>
      </c>
    </row>
    <row r="11" spans="1:15">
      <c r="A11" s="229" t="str">
        <f>IF(OR(K11&gt;0,S11&gt;0),基础信息!$B$1,"")</f>
        <v/>
      </c>
      <c r="B11" s="255"/>
      <c r="C11" s="276"/>
      <c r="D11" s="255"/>
      <c r="E11" s="229">
        <f t="shared" si="0"/>
        <v>0</v>
      </c>
      <c r="F11" s="288"/>
      <c r="G11" s="288"/>
      <c r="H11" s="288"/>
      <c r="I11" s="288"/>
      <c r="J11" s="288"/>
      <c r="K11" s="288"/>
      <c r="L11" s="288"/>
      <c r="M11" s="288"/>
      <c r="N11" s="288"/>
      <c r="O11" s="229">
        <f t="shared" si="1"/>
        <v>0</v>
      </c>
    </row>
    <row r="12" spans="1:15">
      <c r="A12" s="229" t="str">
        <f>IF(OR(K12&gt;0,S12&gt;0),基础信息!$B$1,"")</f>
        <v/>
      </c>
      <c r="B12" s="255"/>
      <c r="C12" s="276"/>
      <c r="D12" s="255"/>
      <c r="E12" s="229">
        <f t="shared" si="0"/>
        <v>0</v>
      </c>
      <c r="F12" s="288"/>
      <c r="G12" s="288"/>
      <c r="H12" s="288"/>
      <c r="I12" s="288"/>
      <c r="J12" s="288"/>
      <c r="K12" s="288"/>
      <c r="L12" s="288"/>
      <c r="M12" s="288"/>
      <c r="N12" s="288"/>
      <c r="O12" s="229">
        <f t="shared" si="1"/>
        <v>0</v>
      </c>
    </row>
    <row r="13" spans="1:15">
      <c r="A13" s="229" t="str">
        <f>IF(OR(K13&gt;0,S13&gt;0),基础信息!$B$1,"")</f>
        <v/>
      </c>
      <c r="B13" s="255"/>
      <c r="C13" s="276"/>
      <c r="D13" s="255"/>
      <c r="E13" s="229">
        <f t="shared" si="0"/>
        <v>0</v>
      </c>
      <c r="F13" s="288"/>
      <c r="G13" s="288"/>
      <c r="H13" s="288"/>
      <c r="I13" s="288"/>
      <c r="J13" s="288"/>
      <c r="K13" s="288"/>
      <c r="L13" s="288"/>
      <c r="M13" s="288"/>
      <c r="N13" s="288"/>
      <c r="O13" s="229">
        <f t="shared" si="1"/>
        <v>0</v>
      </c>
    </row>
    <row r="14" spans="1:15">
      <c r="A14" s="229" t="str">
        <f>IF(OR(K14&gt;0,S14&gt;0),基础信息!$B$1,"")</f>
        <v/>
      </c>
      <c r="B14" s="255"/>
      <c r="C14" s="276"/>
      <c r="D14" s="255"/>
      <c r="E14" s="229">
        <f t="shared" si="0"/>
        <v>0</v>
      </c>
      <c r="F14" s="288"/>
      <c r="G14" s="288"/>
      <c r="H14" s="288"/>
      <c r="I14" s="288"/>
      <c r="J14" s="288"/>
      <c r="K14" s="288"/>
      <c r="L14" s="288"/>
      <c r="M14" s="288"/>
      <c r="N14" s="288"/>
      <c r="O14" s="229">
        <f t="shared" si="1"/>
        <v>0</v>
      </c>
    </row>
    <row r="15" spans="1:15">
      <c r="A15" s="229" t="str">
        <f>IF(OR(K15&gt;0,S15&gt;0),基础信息!$B$1,"")</f>
        <v/>
      </c>
      <c r="B15" s="255"/>
      <c r="C15" s="276"/>
      <c r="D15" s="255"/>
      <c r="E15" s="229">
        <f t="shared" si="0"/>
        <v>0</v>
      </c>
      <c r="F15" s="288"/>
      <c r="G15" s="288"/>
      <c r="H15" s="288"/>
      <c r="I15" s="288"/>
      <c r="J15" s="288"/>
      <c r="K15" s="288"/>
      <c r="L15" s="288"/>
      <c r="M15" s="288"/>
      <c r="N15" s="288"/>
      <c r="O15" s="229">
        <f t="shared" si="1"/>
        <v>0</v>
      </c>
    </row>
    <row r="16" spans="1:15">
      <c r="A16" s="229" t="str">
        <f>IF(OR(K16&gt;0,S16&gt;0),基础信息!$B$1,"")</f>
        <v/>
      </c>
      <c r="B16" s="255"/>
      <c r="C16" s="276"/>
      <c r="D16" s="255"/>
      <c r="E16" s="229">
        <f t="shared" si="0"/>
        <v>0</v>
      </c>
      <c r="F16" s="288"/>
      <c r="G16" s="288"/>
      <c r="H16" s="288"/>
      <c r="I16" s="288"/>
      <c r="J16" s="288"/>
      <c r="K16" s="288"/>
      <c r="L16" s="288"/>
      <c r="M16" s="288"/>
      <c r="N16" s="288"/>
      <c r="O16" s="229">
        <f t="shared" si="1"/>
        <v>0</v>
      </c>
    </row>
    <row r="17" spans="1:15">
      <c r="A17" s="229" t="str">
        <f>IF(OR(K17&gt;0,S17&gt;0),基础信息!$B$1,"")</f>
        <v/>
      </c>
      <c r="B17" s="255"/>
      <c r="C17" s="276"/>
      <c r="D17" s="255"/>
      <c r="E17" s="229">
        <f t="shared" si="0"/>
        <v>0</v>
      </c>
      <c r="F17" s="288"/>
      <c r="G17" s="288"/>
      <c r="H17" s="288"/>
      <c r="I17" s="288"/>
      <c r="J17" s="288"/>
      <c r="K17" s="288"/>
      <c r="L17" s="288"/>
      <c r="M17" s="288"/>
      <c r="N17" s="288"/>
      <c r="O17" s="229">
        <f t="shared" si="1"/>
        <v>0</v>
      </c>
    </row>
    <row r="18" spans="1:15">
      <c r="A18" s="229" t="str">
        <f>IF(OR(K18&gt;0,S18&gt;0),基础信息!$B$1,"")</f>
        <v/>
      </c>
      <c r="B18" s="255"/>
      <c r="C18" s="276"/>
      <c r="D18" s="255"/>
      <c r="E18" s="229">
        <f t="shared" si="0"/>
        <v>0</v>
      </c>
      <c r="F18" s="288"/>
      <c r="G18" s="288"/>
      <c r="H18" s="288"/>
      <c r="I18" s="288"/>
      <c r="J18" s="288"/>
      <c r="K18" s="288"/>
      <c r="L18" s="288"/>
      <c r="M18" s="288"/>
      <c r="N18" s="288"/>
      <c r="O18"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1625E8-FCB9-4250-9C5D-5F2462D94F23}">
          <x14:formula1>
            <xm:f>分类表!$94:$94</xm:f>
          </x14:formula1>
          <xm:sqref>C2:C18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sheetPr codeName="Sheet10">
    <tabColor rgb="FF00B0F0"/>
  </sheetPr>
  <dimension ref="A1:F260"/>
  <sheetViews>
    <sheetView workbookViewId="0">
      <pane ySplit="3" topLeftCell="A25" activePane="bottomLeft" state="frozen"/>
      <selection pane="bottomLeft" activeCell="F25" sqref="F25"/>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634" t="s">
        <v>1546</v>
      </c>
      <c r="B1" s="634"/>
      <c r="C1" s="634"/>
      <c r="D1" s="634"/>
      <c r="E1" s="634"/>
      <c r="F1" s="634"/>
    </row>
    <row r="2" spans="1:6">
      <c r="A2" s="158" t="str">
        <f>"被审计单位:"&amp;基础信息!B1</f>
        <v>被审计单位:杭州市城市建设发展集团有限公司</v>
      </c>
      <c r="B2" s="159" t="s">
        <v>1624</v>
      </c>
      <c r="C2" s="159"/>
      <c r="D2" s="159" t="s">
        <v>1552</v>
      </c>
      <c r="E2" s="160"/>
      <c r="F2" s="159"/>
    </row>
    <row r="3" spans="1:6">
      <c r="A3" s="158" t="s">
        <v>1623</v>
      </c>
      <c r="B3" s="159" t="s">
        <v>1625</v>
      </c>
      <c r="C3" s="159"/>
      <c r="D3" s="159" t="s">
        <v>1552</v>
      </c>
      <c r="E3" s="160"/>
      <c r="F3" s="159"/>
    </row>
    <row r="5" spans="1:6">
      <c r="A5" t="s">
        <v>95</v>
      </c>
      <c r="B5" s="229" t="s">
        <v>348</v>
      </c>
      <c r="C5" s="229" t="s">
        <v>1629</v>
      </c>
      <c r="D5" t="s">
        <v>1626</v>
      </c>
      <c r="E5" t="s">
        <v>1627</v>
      </c>
      <c r="F5" t="s">
        <v>1628</v>
      </c>
    </row>
    <row r="6" spans="1:6">
      <c r="A6" t="str">
        <f>资产表!A2</f>
        <v>流动资产：</v>
      </c>
      <c r="B6">
        <f>资产表!B2</f>
        <v>0</v>
      </c>
      <c r="C6">
        <f>资产表!C2</f>
        <v>0</v>
      </c>
      <c r="D6" s="230"/>
      <c r="E6" s="231"/>
    </row>
    <row r="7" spans="1:6">
      <c r="A7" t="str">
        <f>资产表!A3</f>
        <v xml:space="preserve">        货币资金</v>
      </c>
      <c r="B7">
        <f>资产表!B3</f>
        <v>0</v>
      </c>
      <c r="C7">
        <f>资产表!C3</f>
        <v>0</v>
      </c>
      <c r="D7" s="230">
        <f t="shared" ref="D7:D70" si="0">B7-C7</f>
        <v>0</v>
      </c>
      <c r="E7" s="231" t="str">
        <f t="shared" ref="E7:E70" si="1">IFERROR(D7/C7,"不适用")</f>
        <v>不适用</v>
      </c>
    </row>
    <row r="8" spans="1:6">
      <c r="A8" t="str">
        <f>资产表!A4</f>
        <v xml:space="preserve">      △结算备付金</v>
      </c>
      <c r="B8">
        <f>资产表!B4</f>
        <v>0</v>
      </c>
      <c r="C8">
        <f>资产表!C4</f>
        <v>0</v>
      </c>
      <c r="D8" s="230">
        <f t="shared" si="0"/>
        <v>0</v>
      </c>
      <c r="E8" s="231" t="str">
        <f t="shared" si="1"/>
        <v>不适用</v>
      </c>
    </row>
    <row r="9" spans="1:6">
      <c r="A9" t="str">
        <f>资产表!A5</f>
        <v xml:space="preserve">      △拆出资金</v>
      </c>
      <c r="B9">
        <f>资产表!B5</f>
        <v>0</v>
      </c>
      <c r="C9">
        <f>资产表!C5</f>
        <v>0</v>
      </c>
      <c r="D9" s="230">
        <f t="shared" si="0"/>
        <v>0</v>
      </c>
      <c r="E9" s="231" t="str">
        <f t="shared" si="1"/>
        <v>不适用</v>
      </c>
    </row>
    <row r="10" spans="1:6">
      <c r="A10" t="str">
        <f>资产表!A6</f>
        <v xml:space="preserve">      ☆交易性金融资产</v>
      </c>
      <c r="B10">
        <f>资产表!B6</f>
        <v>0</v>
      </c>
      <c r="C10">
        <f>资产表!C6</f>
        <v>0</v>
      </c>
      <c r="D10" s="230">
        <f t="shared" si="0"/>
        <v>0</v>
      </c>
      <c r="E10" s="231" t="str">
        <f t="shared" si="1"/>
        <v>不适用</v>
      </c>
    </row>
    <row r="11" spans="1:6">
      <c r="A11" t="str">
        <f>资产表!A7</f>
        <v xml:space="preserve">        以公允价值计量且其变动计入当期损益的金融资产</v>
      </c>
      <c r="B11">
        <f>资产表!B7</f>
        <v>0</v>
      </c>
      <c r="C11">
        <f>资产表!C7</f>
        <v>0</v>
      </c>
      <c r="D11" s="230">
        <f t="shared" si="0"/>
        <v>0</v>
      </c>
      <c r="E11" s="231" t="str">
        <f t="shared" si="1"/>
        <v>不适用</v>
      </c>
    </row>
    <row r="12" spans="1:6">
      <c r="A12" t="str">
        <f>资产表!A8</f>
        <v xml:space="preserve">        衍生金融资产</v>
      </c>
      <c r="B12">
        <f>资产表!B8</f>
        <v>0</v>
      </c>
      <c r="C12">
        <f>资产表!C8</f>
        <v>0</v>
      </c>
      <c r="D12" s="230">
        <f t="shared" si="0"/>
        <v>0</v>
      </c>
      <c r="E12" s="231" t="str">
        <f t="shared" si="1"/>
        <v>不适用</v>
      </c>
    </row>
    <row r="13" spans="1:6">
      <c r="A13" t="str">
        <f>资产表!A9</f>
        <v xml:space="preserve">        应收票据</v>
      </c>
      <c r="B13">
        <f>资产表!B9</f>
        <v>0</v>
      </c>
      <c r="C13">
        <f>资产表!C9</f>
        <v>0</v>
      </c>
      <c r="D13" s="230">
        <f t="shared" si="0"/>
        <v>0</v>
      </c>
      <c r="E13" s="231" t="str">
        <f t="shared" si="1"/>
        <v>不适用</v>
      </c>
    </row>
    <row r="14" spans="1:6">
      <c r="A14" t="str">
        <f>资产表!A10</f>
        <v xml:space="preserve">        应收账款</v>
      </c>
      <c r="B14">
        <f>资产表!B10</f>
        <v>0</v>
      </c>
      <c r="C14">
        <f>资产表!C10</f>
        <v>0</v>
      </c>
      <c r="D14" s="230">
        <f t="shared" si="0"/>
        <v>0</v>
      </c>
      <c r="E14" s="231" t="str">
        <f t="shared" si="1"/>
        <v>不适用</v>
      </c>
    </row>
    <row r="15" spans="1:6">
      <c r="A15" t="str">
        <f>资产表!A11</f>
        <v xml:space="preserve">      ☆应收款项融资</v>
      </c>
      <c r="B15">
        <f>资产表!B11</f>
        <v>0</v>
      </c>
      <c r="C15">
        <f>资产表!C11</f>
        <v>0</v>
      </c>
      <c r="D15" s="230">
        <f t="shared" si="0"/>
        <v>0</v>
      </c>
      <c r="E15" s="231" t="str">
        <f t="shared" si="1"/>
        <v>不适用</v>
      </c>
    </row>
    <row r="16" spans="1:6">
      <c r="A16" t="str">
        <f>资产表!A12</f>
        <v xml:space="preserve">        预付款项</v>
      </c>
      <c r="B16">
        <f>资产表!B12</f>
        <v>0</v>
      </c>
      <c r="C16">
        <f>资产表!C12</f>
        <v>0</v>
      </c>
      <c r="D16" s="230">
        <f t="shared" si="0"/>
        <v>0</v>
      </c>
      <c r="E16" s="231" t="str">
        <f t="shared" si="1"/>
        <v>不适用</v>
      </c>
    </row>
    <row r="17" spans="1:5">
      <c r="A17" t="str">
        <f>资产表!A13</f>
        <v xml:space="preserve">      △应收保费</v>
      </c>
      <c r="B17">
        <f>资产表!B13</f>
        <v>0</v>
      </c>
      <c r="C17">
        <f>资产表!C13</f>
        <v>0</v>
      </c>
      <c r="D17" s="230">
        <f t="shared" si="0"/>
        <v>0</v>
      </c>
      <c r="E17" s="231" t="str">
        <f t="shared" si="1"/>
        <v>不适用</v>
      </c>
    </row>
    <row r="18" spans="1:5">
      <c r="A18" t="str">
        <f>资产表!A14</f>
        <v xml:space="preserve">      △应收分保账款</v>
      </c>
      <c r="B18">
        <f>资产表!B14</f>
        <v>0</v>
      </c>
      <c r="C18">
        <f>资产表!C14</f>
        <v>0</v>
      </c>
      <c r="D18" s="230">
        <f t="shared" si="0"/>
        <v>0</v>
      </c>
      <c r="E18" s="231" t="str">
        <f t="shared" si="1"/>
        <v>不适用</v>
      </c>
    </row>
    <row r="19" spans="1:5">
      <c r="A19" t="str">
        <f>资产表!A15</f>
        <v xml:space="preserve">      △应收分保合同准备金</v>
      </c>
      <c r="B19">
        <f>资产表!B15</f>
        <v>0</v>
      </c>
      <c r="C19">
        <f>资产表!C15</f>
        <v>0</v>
      </c>
      <c r="D19" s="230">
        <f t="shared" si="0"/>
        <v>0</v>
      </c>
      <c r="E19" s="231" t="str">
        <f t="shared" si="1"/>
        <v>不适用</v>
      </c>
    </row>
    <row r="20" spans="1:5">
      <c r="A20" t="str">
        <f>资产表!A16</f>
        <v xml:space="preserve">        其他应收款</v>
      </c>
      <c r="B20">
        <f>资产表!B16</f>
        <v>0</v>
      </c>
      <c r="C20">
        <f>资产表!C16</f>
        <v>0</v>
      </c>
      <c r="D20" s="230">
        <f t="shared" si="0"/>
        <v>0</v>
      </c>
      <c r="E20" s="231" t="str">
        <f t="shared" si="1"/>
        <v>不适用</v>
      </c>
    </row>
    <row r="21" spans="1:5">
      <c r="A21" t="str">
        <f>资产表!A18</f>
        <v xml:space="preserve">      △买入返售金融资产</v>
      </c>
      <c r="B21">
        <f>资产表!B18</f>
        <v>0</v>
      </c>
      <c r="C21">
        <f>资产表!C18</f>
        <v>0</v>
      </c>
      <c r="D21" s="230">
        <f t="shared" si="0"/>
        <v>0</v>
      </c>
      <c r="E21" s="231" t="str">
        <f t="shared" si="1"/>
        <v>不适用</v>
      </c>
    </row>
    <row r="22" spans="1:5">
      <c r="A22" t="str">
        <f>资产表!A19</f>
        <v xml:space="preserve">        存货</v>
      </c>
      <c r="B22">
        <f>资产表!B19</f>
        <v>0</v>
      </c>
      <c r="C22">
        <f>资产表!C19</f>
        <v>0</v>
      </c>
      <c r="D22" s="230">
        <f t="shared" si="0"/>
        <v>0</v>
      </c>
      <c r="E22" s="231" t="str">
        <f t="shared" si="1"/>
        <v>不适用</v>
      </c>
    </row>
    <row r="23" spans="1:5">
      <c r="A23" t="str">
        <f>资产表!A20</f>
        <v xml:space="preserve">            其中：原材料</v>
      </c>
      <c r="B23">
        <f>资产表!B20</f>
        <v>0</v>
      </c>
      <c r="C23">
        <f>资产表!C20</f>
        <v>0</v>
      </c>
      <c r="D23" s="230">
        <f t="shared" si="0"/>
        <v>0</v>
      </c>
      <c r="E23" s="231" t="str">
        <f t="shared" si="1"/>
        <v>不适用</v>
      </c>
    </row>
    <row r="24" spans="1:5">
      <c r="A24" t="str">
        <f>资产表!A21</f>
        <v xml:space="preserve">                  库存商品(产成品)</v>
      </c>
      <c r="B24">
        <f>资产表!B21</f>
        <v>0</v>
      </c>
      <c r="C24">
        <f>资产表!C21</f>
        <v>0</v>
      </c>
      <c r="D24" s="230">
        <f t="shared" si="0"/>
        <v>0</v>
      </c>
      <c r="E24" s="231" t="str">
        <f t="shared" si="1"/>
        <v>不适用</v>
      </c>
    </row>
    <row r="25" spans="1:5">
      <c r="A25" t="str">
        <f>资产表!A22</f>
        <v xml:space="preserve">      ☆合同资产</v>
      </c>
      <c r="B25">
        <f>资产表!B22</f>
        <v>0</v>
      </c>
      <c r="C25">
        <f>资产表!C22</f>
        <v>0</v>
      </c>
      <c r="D25" s="230">
        <f t="shared" si="0"/>
        <v>0</v>
      </c>
      <c r="E25" s="231" t="str">
        <f t="shared" si="1"/>
        <v>不适用</v>
      </c>
    </row>
    <row r="26" spans="1:5">
      <c r="A26" t="str">
        <f>资产表!A23</f>
        <v xml:space="preserve">        持有待售资产</v>
      </c>
      <c r="B26">
        <f>资产表!B23</f>
        <v>0</v>
      </c>
      <c r="C26">
        <f>资产表!C23</f>
        <v>0</v>
      </c>
      <c r="D26" s="230">
        <f t="shared" si="0"/>
        <v>0</v>
      </c>
      <c r="E26" s="231" t="str">
        <f t="shared" si="1"/>
        <v>不适用</v>
      </c>
    </row>
    <row r="27" spans="1:5">
      <c r="A27" t="str">
        <f>资产表!A24</f>
        <v xml:space="preserve">        一年内到期的非流动资产</v>
      </c>
      <c r="B27">
        <f>资产表!B24</f>
        <v>0</v>
      </c>
      <c r="C27">
        <f>资产表!C24</f>
        <v>0</v>
      </c>
      <c r="D27" s="230">
        <f t="shared" si="0"/>
        <v>0</v>
      </c>
      <c r="E27" s="231" t="str">
        <f t="shared" si="1"/>
        <v>不适用</v>
      </c>
    </row>
    <row r="28" spans="1:5">
      <c r="A28" t="str">
        <f>资产表!A25</f>
        <v xml:space="preserve">        其他流动资产</v>
      </c>
      <c r="B28">
        <f>资产表!B25</f>
        <v>0</v>
      </c>
      <c r="C28">
        <f>资产表!C25</f>
        <v>0</v>
      </c>
      <c r="D28" s="230">
        <f t="shared" si="0"/>
        <v>0</v>
      </c>
      <c r="E28" s="231" t="str">
        <f t="shared" si="1"/>
        <v>不适用</v>
      </c>
    </row>
    <row r="29" spans="1:5">
      <c r="A29" t="str">
        <f>资产表!A26</f>
        <v>流动资产合计</v>
      </c>
      <c r="B29">
        <f>资产表!B26</f>
        <v>0</v>
      </c>
      <c r="C29">
        <f>资产表!C26</f>
        <v>0</v>
      </c>
      <c r="D29" s="230">
        <f t="shared" si="0"/>
        <v>0</v>
      </c>
      <c r="E29" s="231" t="str">
        <f t="shared" si="1"/>
        <v>不适用</v>
      </c>
    </row>
    <row r="30" spans="1:5">
      <c r="A30" t="str">
        <f>资产表!A27</f>
        <v>非流动资产：</v>
      </c>
      <c r="B30">
        <f>资产表!B27</f>
        <v>0</v>
      </c>
      <c r="C30">
        <f>资产表!C27</f>
        <v>0</v>
      </c>
      <c r="D30" s="230">
        <f t="shared" si="0"/>
        <v>0</v>
      </c>
      <c r="E30" s="231" t="str">
        <f t="shared" si="1"/>
        <v>不适用</v>
      </c>
    </row>
    <row r="31" spans="1:5">
      <c r="A31" t="str">
        <f>资产表!A28</f>
        <v xml:space="preserve">      △发放贷款和垫款</v>
      </c>
      <c r="B31">
        <f>资产表!B28</f>
        <v>0</v>
      </c>
      <c r="C31">
        <f>资产表!C28</f>
        <v>0</v>
      </c>
      <c r="D31" s="230">
        <f t="shared" si="0"/>
        <v>0</v>
      </c>
      <c r="E31" s="231" t="str">
        <f t="shared" si="1"/>
        <v>不适用</v>
      </c>
    </row>
    <row r="32" spans="1:5">
      <c r="A32" t="str">
        <f>资产表!A29</f>
        <v xml:space="preserve">      ☆债权投资</v>
      </c>
      <c r="B32">
        <f>资产表!B29</f>
        <v>0</v>
      </c>
      <c r="C32">
        <f>资产表!C29</f>
        <v>0</v>
      </c>
      <c r="D32" s="230">
        <f t="shared" si="0"/>
        <v>0</v>
      </c>
      <c r="E32" s="231" t="str">
        <f t="shared" si="1"/>
        <v>不适用</v>
      </c>
    </row>
    <row r="33" spans="1:5">
      <c r="A33" t="str">
        <f>资产表!A30</f>
        <v xml:space="preserve">        可供出售金融资产</v>
      </c>
      <c r="B33">
        <f>资产表!B30</f>
        <v>0</v>
      </c>
      <c r="C33">
        <f>资产表!C30</f>
        <v>0</v>
      </c>
      <c r="D33" s="230">
        <f t="shared" si="0"/>
        <v>0</v>
      </c>
      <c r="E33" s="231" t="str">
        <f t="shared" si="1"/>
        <v>不适用</v>
      </c>
    </row>
    <row r="34" spans="1:5">
      <c r="A34" t="str">
        <f>资产表!A31</f>
        <v xml:space="preserve">      ☆其他债权投资</v>
      </c>
      <c r="B34">
        <f>资产表!B31</f>
        <v>0</v>
      </c>
      <c r="C34">
        <f>资产表!C31</f>
        <v>0</v>
      </c>
      <c r="D34" s="230">
        <f t="shared" si="0"/>
        <v>0</v>
      </c>
      <c r="E34" s="231" t="str">
        <f t="shared" si="1"/>
        <v>不适用</v>
      </c>
    </row>
    <row r="35" spans="1:5">
      <c r="A35" t="str">
        <f>资产表!A32</f>
        <v xml:space="preserve">        持有至到期投资</v>
      </c>
      <c r="B35">
        <f>资产表!B32</f>
        <v>0</v>
      </c>
      <c r="C35">
        <f>资产表!C32</f>
        <v>0</v>
      </c>
      <c r="D35" s="230">
        <f t="shared" si="0"/>
        <v>0</v>
      </c>
      <c r="E35" s="231" t="str">
        <f t="shared" si="1"/>
        <v>不适用</v>
      </c>
    </row>
    <row r="36" spans="1:5">
      <c r="A36" t="str">
        <f>资产表!A33</f>
        <v xml:space="preserve">        长期应收款</v>
      </c>
      <c r="B36">
        <f>资产表!B33</f>
        <v>0</v>
      </c>
      <c r="C36">
        <f>资产表!C33</f>
        <v>0</v>
      </c>
      <c r="D36" s="230">
        <f t="shared" si="0"/>
        <v>0</v>
      </c>
      <c r="E36" s="231" t="str">
        <f t="shared" si="1"/>
        <v>不适用</v>
      </c>
    </row>
    <row r="37" spans="1:5">
      <c r="A37" t="str">
        <f>资产表!A34</f>
        <v xml:space="preserve">        长期股权投资</v>
      </c>
      <c r="B37">
        <f>资产表!B34</f>
        <v>0</v>
      </c>
      <c r="C37">
        <f>资产表!C34</f>
        <v>0</v>
      </c>
      <c r="D37" s="230">
        <f t="shared" si="0"/>
        <v>0</v>
      </c>
      <c r="E37" s="231" t="str">
        <f t="shared" si="1"/>
        <v>不适用</v>
      </c>
    </row>
    <row r="38" spans="1:5">
      <c r="A38" t="str">
        <f>资产表!A35</f>
        <v xml:space="preserve">      ☆其他权益工具投资</v>
      </c>
      <c r="B38">
        <f>资产表!B35</f>
        <v>0</v>
      </c>
      <c r="C38">
        <f>资产表!C35</f>
        <v>0</v>
      </c>
      <c r="D38" s="230">
        <f t="shared" si="0"/>
        <v>0</v>
      </c>
      <c r="E38" s="231" t="str">
        <f t="shared" si="1"/>
        <v>不适用</v>
      </c>
    </row>
    <row r="39" spans="1:5">
      <c r="A39" t="str">
        <f>资产表!A36</f>
        <v xml:space="preserve">      ☆其他非流动金融资产</v>
      </c>
      <c r="B39">
        <f>资产表!B36</f>
        <v>0</v>
      </c>
      <c r="C39">
        <f>资产表!C36</f>
        <v>0</v>
      </c>
      <c r="D39" s="230">
        <f t="shared" si="0"/>
        <v>0</v>
      </c>
      <c r="E39" s="231" t="str">
        <f t="shared" si="1"/>
        <v>不适用</v>
      </c>
    </row>
    <row r="40" spans="1:5">
      <c r="A40" t="str">
        <f>资产表!A37</f>
        <v xml:space="preserve">        投资性房地产</v>
      </c>
      <c r="B40">
        <f>资产表!B37</f>
        <v>0</v>
      </c>
      <c r="C40">
        <f>资产表!C37</f>
        <v>0</v>
      </c>
      <c r="D40" s="230">
        <f t="shared" si="0"/>
        <v>0</v>
      </c>
      <c r="E40" s="231" t="str">
        <f t="shared" si="1"/>
        <v>不适用</v>
      </c>
    </row>
    <row r="41" spans="1:5">
      <c r="A41" t="str">
        <f>资产表!A38</f>
        <v xml:space="preserve">        固定资产</v>
      </c>
      <c r="B41">
        <f>资产表!B38</f>
        <v>0</v>
      </c>
      <c r="C41">
        <f>资产表!C38</f>
        <v>0</v>
      </c>
      <c r="D41" s="230">
        <f t="shared" si="0"/>
        <v>0</v>
      </c>
      <c r="E41" s="231" t="str">
        <f t="shared" si="1"/>
        <v>不适用</v>
      </c>
    </row>
    <row r="42" spans="1:5">
      <c r="A42" t="str">
        <f>资产表!A42</f>
        <v xml:space="preserve">        在建工程</v>
      </c>
      <c r="B42">
        <f>资产表!B42</f>
        <v>0</v>
      </c>
      <c r="C42">
        <f>资产表!C42</f>
        <v>0</v>
      </c>
      <c r="D42" s="230">
        <f t="shared" si="0"/>
        <v>0</v>
      </c>
      <c r="E42" s="231" t="str">
        <f t="shared" si="1"/>
        <v>不适用</v>
      </c>
    </row>
    <row r="43" spans="1:5">
      <c r="A43" t="str">
        <f>资产表!A43</f>
        <v xml:space="preserve">        生产性生物资产</v>
      </c>
      <c r="B43">
        <f>资产表!B43</f>
        <v>0</v>
      </c>
      <c r="C43">
        <f>资产表!C43</f>
        <v>0</v>
      </c>
      <c r="D43" s="230">
        <f t="shared" si="0"/>
        <v>0</v>
      </c>
      <c r="E43" s="231" t="str">
        <f t="shared" si="1"/>
        <v>不适用</v>
      </c>
    </row>
    <row r="44" spans="1:5">
      <c r="A44" t="str">
        <f>资产表!A44</f>
        <v xml:space="preserve">        油气资产</v>
      </c>
      <c r="B44">
        <f>资产表!B44</f>
        <v>0</v>
      </c>
      <c r="C44">
        <f>资产表!C44</f>
        <v>0</v>
      </c>
      <c r="D44" s="230">
        <f t="shared" si="0"/>
        <v>0</v>
      </c>
      <c r="E44" s="231" t="str">
        <f t="shared" si="1"/>
        <v>不适用</v>
      </c>
    </row>
    <row r="45" spans="1:5">
      <c r="A45" t="str">
        <f>资产表!A45</f>
        <v xml:space="preserve">      ☆使用权资产</v>
      </c>
      <c r="B45">
        <f>资产表!B45</f>
        <v>0</v>
      </c>
      <c r="C45">
        <f>资产表!C45</f>
        <v>0</v>
      </c>
      <c r="D45" s="230">
        <f t="shared" si="0"/>
        <v>0</v>
      </c>
      <c r="E45" s="231" t="str">
        <f t="shared" si="1"/>
        <v>不适用</v>
      </c>
    </row>
    <row r="46" spans="1:5">
      <c r="A46" t="str">
        <f>资产表!A46</f>
        <v xml:space="preserve">        无形资产</v>
      </c>
      <c r="B46">
        <f>资产表!B46</f>
        <v>0</v>
      </c>
      <c r="C46">
        <f>资产表!C46</f>
        <v>0</v>
      </c>
      <c r="D46" s="230">
        <f t="shared" si="0"/>
        <v>0</v>
      </c>
      <c r="E46" s="231" t="str">
        <f t="shared" si="1"/>
        <v>不适用</v>
      </c>
    </row>
    <row r="47" spans="1:5">
      <c r="A47" t="str">
        <f>资产表!A47</f>
        <v xml:space="preserve">        开发支出</v>
      </c>
      <c r="B47">
        <f>资产表!B47</f>
        <v>0</v>
      </c>
      <c r="C47">
        <f>资产表!C47</f>
        <v>0</v>
      </c>
      <c r="D47" s="230">
        <f t="shared" si="0"/>
        <v>0</v>
      </c>
      <c r="E47" s="231" t="str">
        <f t="shared" si="1"/>
        <v>不适用</v>
      </c>
    </row>
    <row r="48" spans="1:5">
      <c r="A48" t="str">
        <f>资产表!A48</f>
        <v xml:space="preserve">        商誉</v>
      </c>
      <c r="B48">
        <f>资产表!B48</f>
        <v>0</v>
      </c>
      <c r="C48">
        <f>资产表!C48</f>
        <v>0</v>
      </c>
      <c r="D48" s="230">
        <f t="shared" si="0"/>
        <v>0</v>
      </c>
      <c r="E48" s="231" t="str">
        <f t="shared" si="1"/>
        <v>不适用</v>
      </c>
    </row>
    <row r="49" spans="1:5">
      <c r="A49" t="str">
        <f>资产表!A49</f>
        <v xml:space="preserve">        长期待摊费用</v>
      </c>
      <c r="B49">
        <f>资产表!B49</f>
        <v>0</v>
      </c>
      <c r="C49">
        <f>资产表!C49</f>
        <v>0</v>
      </c>
      <c r="D49" s="230">
        <f t="shared" si="0"/>
        <v>0</v>
      </c>
      <c r="E49" s="231" t="str">
        <f t="shared" si="1"/>
        <v>不适用</v>
      </c>
    </row>
    <row r="50" spans="1:5">
      <c r="A50" t="str">
        <f>资产表!A50</f>
        <v xml:space="preserve">        递延所得税资产</v>
      </c>
      <c r="B50">
        <f>资产表!B50</f>
        <v>0</v>
      </c>
      <c r="C50">
        <f>资产表!C50</f>
        <v>0</v>
      </c>
      <c r="D50" s="230">
        <f t="shared" si="0"/>
        <v>0</v>
      </c>
      <c r="E50" s="231" t="str">
        <f t="shared" si="1"/>
        <v>不适用</v>
      </c>
    </row>
    <row r="51" spans="1:5">
      <c r="A51" t="str">
        <f>资产表!A51</f>
        <v xml:space="preserve">        其他非流动资产</v>
      </c>
      <c r="B51">
        <f>资产表!B51</f>
        <v>0</v>
      </c>
      <c r="C51">
        <f>资产表!C51</f>
        <v>0</v>
      </c>
      <c r="D51" s="230">
        <f t="shared" si="0"/>
        <v>0</v>
      </c>
      <c r="E51" s="231" t="str">
        <f t="shared" si="1"/>
        <v>不适用</v>
      </c>
    </row>
    <row r="52" spans="1:5">
      <c r="A52" t="str">
        <f>资产表!A52</f>
        <v xml:space="preserve">            其中：特准储备物资</v>
      </c>
      <c r="B52">
        <f>资产表!B52</f>
        <v>0</v>
      </c>
      <c r="C52">
        <f>资产表!C52</f>
        <v>0</v>
      </c>
      <c r="D52" s="230">
        <f t="shared" si="0"/>
        <v>0</v>
      </c>
      <c r="E52" s="231" t="str">
        <f t="shared" si="1"/>
        <v>不适用</v>
      </c>
    </row>
    <row r="53" spans="1:5">
      <c r="A53" t="str">
        <f>资产表!A53</f>
        <v>非流动资产合计</v>
      </c>
      <c r="B53">
        <f>资产表!B53</f>
        <v>0</v>
      </c>
      <c r="C53">
        <f>资产表!C53</f>
        <v>0</v>
      </c>
      <c r="D53" s="230">
        <f t="shared" si="0"/>
        <v>0</v>
      </c>
      <c r="E53" s="231" t="str">
        <f t="shared" si="1"/>
        <v>不适用</v>
      </c>
    </row>
    <row r="54" spans="1:5">
      <c r="A54" t="str">
        <f>资产表!A54</f>
        <v>资  产  总  计</v>
      </c>
      <c r="B54">
        <f>资产表!B54</f>
        <v>0</v>
      </c>
      <c r="C54">
        <f>资产表!C54</f>
        <v>0</v>
      </c>
      <c r="D54" s="230">
        <f t="shared" si="0"/>
        <v>0</v>
      </c>
      <c r="E54" s="231" t="str">
        <f t="shared" si="1"/>
        <v>不适用</v>
      </c>
    </row>
    <row r="55" spans="1:5">
      <c r="A55" t="str">
        <f>负债表!A2</f>
        <v>流动负债：</v>
      </c>
      <c r="B55">
        <f>负债表!B2</f>
        <v>0</v>
      </c>
      <c r="C55">
        <f>负债表!C2</f>
        <v>0</v>
      </c>
      <c r="D55" s="230">
        <f t="shared" si="0"/>
        <v>0</v>
      </c>
      <c r="E55" s="231" t="str">
        <f t="shared" si="1"/>
        <v>不适用</v>
      </c>
    </row>
    <row r="56" spans="1:5">
      <c r="A56" t="str">
        <f>负债表!A3</f>
        <v xml:space="preserve">        短期借款</v>
      </c>
      <c r="B56">
        <f>负债表!B3</f>
        <v>0</v>
      </c>
      <c r="C56">
        <f>负债表!C3</f>
        <v>0</v>
      </c>
      <c r="D56" s="230">
        <f t="shared" si="0"/>
        <v>0</v>
      </c>
      <c r="E56" s="231" t="str">
        <f t="shared" si="1"/>
        <v>不适用</v>
      </c>
    </row>
    <row r="57" spans="1:5">
      <c r="A57" t="str">
        <f>负债表!A4</f>
        <v xml:space="preserve">      △向中央银行借款</v>
      </c>
      <c r="B57">
        <f>负债表!B4</f>
        <v>0</v>
      </c>
      <c r="C57">
        <f>负债表!C4</f>
        <v>0</v>
      </c>
      <c r="D57" s="230">
        <f t="shared" si="0"/>
        <v>0</v>
      </c>
      <c r="E57" s="231" t="str">
        <f t="shared" si="1"/>
        <v>不适用</v>
      </c>
    </row>
    <row r="58" spans="1:5">
      <c r="A58" t="str">
        <f>负债表!A5</f>
        <v xml:space="preserve">      △拆入资金</v>
      </c>
      <c r="B58">
        <f>负债表!B5</f>
        <v>0</v>
      </c>
      <c r="C58">
        <f>负债表!C5</f>
        <v>0</v>
      </c>
      <c r="D58" s="230">
        <f t="shared" si="0"/>
        <v>0</v>
      </c>
      <c r="E58" s="231" t="str">
        <f t="shared" si="1"/>
        <v>不适用</v>
      </c>
    </row>
    <row r="59" spans="1:5">
      <c r="A59" t="str">
        <f>负债表!A6</f>
        <v xml:space="preserve">      ☆交易性金融负债</v>
      </c>
      <c r="B59">
        <f>负债表!B6</f>
        <v>0</v>
      </c>
      <c r="C59">
        <f>负债表!C6</f>
        <v>0</v>
      </c>
      <c r="D59" s="230">
        <f t="shared" si="0"/>
        <v>0</v>
      </c>
      <c r="E59" s="231" t="str">
        <f t="shared" si="1"/>
        <v>不适用</v>
      </c>
    </row>
    <row r="60" spans="1:5">
      <c r="A60" t="str">
        <f>负债表!A7</f>
        <v xml:space="preserve">        以公允价值计量且其变动计入当期损益的金融负债</v>
      </c>
      <c r="B60">
        <f>负债表!B7</f>
        <v>0</v>
      </c>
      <c r="C60">
        <f>负债表!C7</f>
        <v>0</v>
      </c>
      <c r="D60" s="230">
        <f t="shared" si="0"/>
        <v>0</v>
      </c>
      <c r="E60" s="231" t="str">
        <f t="shared" si="1"/>
        <v>不适用</v>
      </c>
    </row>
    <row r="61" spans="1:5">
      <c r="A61" t="str">
        <f>负债表!A8</f>
        <v xml:space="preserve">        衍生金融负债</v>
      </c>
      <c r="B61">
        <f>负债表!B8</f>
        <v>0</v>
      </c>
      <c r="C61">
        <f>负债表!C8</f>
        <v>0</v>
      </c>
      <c r="D61" s="230">
        <f t="shared" si="0"/>
        <v>0</v>
      </c>
      <c r="E61" s="231" t="str">
        <f t="shared" si="1"/>
        <v>不适用</v>
      </c>
    </row>
    <row r="62" spans="1:5">
      <c r="A62" t="str">
        <f>负债表!A9</f>
        <v xml:space="preserve">        应付票据</v>
      </c>
      <c r="B62">
        <f>负债表!B9</f>
        <v>0</v>
      </c>
      <c r="C62">
        <f>负债表!C9</f>
        <v>0</v>
      </c>
      <c r="D62" s="230">
        <f t="shared" si="0"/>
        <v>0</v>
      </c>
      <c r="E62" s="231" t="str">
        <f t="shared" si="1"/>
        <v>不适用</v>
      </c>
    </row>
    <row r="63" spans="1:5">
      <c r="A63" t="str">
        <f>负债表!A10</f>
        <v xml:space="preserve">        应付账款</v>
      </c>
      <c r="B63">
        <f>负债表!B10</f>
        <v>0</v>
      </c>
      <c r="C63">
        <f>负债表!C10</f>
        <v>0</v>
      </c>
      <c r="D63" s="230">
        <f t="shared" si="0"/>
        <v>0</v>
      </c>
      <c r="E63" s="231" t="str">
        <f t="shared" si="1"/>
        <v>不适用</v>
      </c>
    </row>
    <row r="64" spans="1:5">
      <c r="A64" t="str">
        <f>负债表!A11</f>
        <v xml:space="preserve">        预收款项</v>
      </c>
      <c r="B64">
        <f>负债表!B11</f>
        <v>0</v>
      </c>
      <c r="C64">
        <f>负债表!C11</f>
        <v>0</v>
      </c>
      <c r="D64" s="230">
        <f t="shared" si="0"/>
        <v>0</v>
      </c>
      <c r="E64" s="231" t="str">
        <f t="shared" si="1"/>
        <v>不适用</v>
      </c>
    </row>
    <row r="65" spans="1:5">
      <c r="A65" t="str">
        <f>负债表!A12</f>
        <v xml:space="preserve">      ☆合同负债</v>
      </c>
      <c r="B65">
        <f>负债表!B12</f>
        <v>0</v>
      </c>
      <c r="C65">
        <f>负债表!C12</f>
        <v>0</v>
      </c>
      <c r="D65" s="230">
        <f t="shared" si="0"/>
        <v>0</v>
      </c>
      <c r="E65" s="231" t="str">
        <f t="shared" si="1"/>
        <v>不适用</v>
      </c>
    </row>
    <row r="66" spans="1:5">
      <c r="A66" t="str">
        <f>负债表!A13</f>
        <v xml:space="preserve">      △卖出回购金融资产款</v>
      </c>
      <c r="B66">
        <f>负债表!B13</f>
        <v>0</v>
      </c>
      <c r="C66">
        <f>负债表!C13</f>
        <v>0</v>
      </c>
      <c r="D66" s="230">
        <f t="shared" si="0"/>
        <v>0</v>
      </c>
      <c r="E66" s="231" t="str">
        <f t="shared" si="1"/>
        <v>不适用</v>
      </c>
    </row>
    <row r="67" spans="1:5">
      <c r="A67" t="str">
        <f>负债表!A14</f>
        <v xml:space="preserve">      △吸收存款及同业存放</v>
      </c>
      <c r="B67">
        <f>负债表!B14</f>
        <v>0</v>
      </c>
      <c r="C67">
        <f>负债表!C14</f>
        <v>0</v>
      </c>
      <c r="D67" s="230">
        <f t="shared" si="0"/>
        <v>0</v>
      </c>
      <c r="E67" s="231" t="str">
        <f t="shared" si="1"/>
        <v>不适用</v>
      </c>
    </row>
    <row r="68" spans="1:5">
      <c r="A68" t="str">
        <f>负债表!A15</f>
        <v xml:space="preserve">      △代理买卖证券款</v>
      </c>
      <c r="B68">
        <f>负债表!B15</f>
        <v>0</v>
      </c>
      <c r="C68">
        <f>负债表!C15</f>
        <v>0</v>
      </c>
      <c r="D68" s="230">
        <f t="shared" si="0"/>
        <v>0</v>
      </c>
      <c r="E68" s="231" t="str">
        <f t="shared" si="1"/>
        <v>不适用</v>
      </c>
    </row>
    <row r="69" spans="1:5">
      <c r="A69" t="str">
        <f>负债表!A16</f>
        <v xml:space="preserve">      △代理承销证券款</v>
      </c>
      <c r="B69">
        <f>负债表!B16</f>
        <v>0</v>
      </c>
      <c r="C69">
        <f>负债表!C16</f>
        <v>0</v>
      </c>
      <c r="D69" s="230">
        <f t="shared" si="0"/>
        <v>0</v>
      </c>
      <c r="E69" s="231" t="str">
        <f t="shared" si="1"/>
        <v>不适用</v>
      </c>
    </row>
    <row r="70" spans="1:5">
      <c r="A70" t="str">
        <f>负债表!A17</f>
        <v xml:space="preserve">        应付职工薪酬</v>
      </c>
      <c r="B70">
        <f>负债表!B17</f>
        <v>0</v>
      </c>
      <c r="C70">
        <f>负债表!C17</f>
        <v>0</v>
      </c>
      <c r="D70" s="230">
        <f t="shared" si="0"/>
        <v>0</v>
      </c>
      <c r="E70" s="231" t="str">
        <f t="shared" si="1"/>
        <v>不适用</v>
      </c>
    </row>
    <row r="71" spans="1:5">
      <c r="A71" t="str">
        <f>负债表!A18</f>
        <v xml:space="preserve">            其中：应付工资</v>
      </c>
      <c r="B71">
        <f>负债表!B18</f>
        <v>0</v>
      </c>
      <c r="C71">
        <f>负债表!C18</f>
        <v>0</v>
      </c>
      <c r="D71" s="230">
        <f t="shared" ref="D71:D134" si="2">B71-C71</f>
        <v>0</v>
      </c>
      <c r="E71" s="231" t="str">
        <f t="shared" ref="E71:E134" si="3">IFERROR(D71/C71,"不适用")</f>
        <v>不适用</v>
      </c>
    </row>
    <row r="72" spans="1:5">
      <c r="A72" t="str">
        <f>负债表!A19</f>
        <v xml:space="preserve">                  应付福利费</v>
      </c>
      <c r="B72">
        <f>负债表!B19</f>
        <v>0</v>
      </c>
      <c r="C72">
        <f>负债表!C19</f>
        <v>0</v>
      </c>
      <c r="D72" s="230">
        <f t="shared" si="2"/>
        <v>0</v>
      </c>
      <c r="E72" s="231" t="str">
        <f t="shared" si="3"/>
        <v>不适用</v>
      </c>
    </row>
    <row r="73" spans="1:5">
      <c r="A73" t="str">
        <f>负债表!A20</f>
        <v xml:space="preserve">                     #其中：职工奖励及福利基金</v>
      </c>
      <c r="B73">
        <f>负债表!B20</f>
        <v>0</v>
      </c>
      <c r="C73">
        <f>负债表!C20</f>
        <v>0</v>
      </c>
      <c r="D73" s="230">
        <f t="shared" si="2"/>
        <v>0</v>
      </c>
      <c r="E73" s="231" t="str">
        <f t="shared" si="3"/>
        <v>不适用</v>
      </c>
    </row>
    <row r="74" spans="1:5">
      <c r="A74" t="str">
        <f>负债表!A21</f>
        <v xml:space="preserve">        应交税费</v>
      </c>
      <c r="B74">
        <f>负债表!B21</f>
        <v>0</v>
      </c>
      <c r="C74">
        <f>负债表!C21</f>
        <v>0</v>
      </c>
      <c r="D74" s="230">
        <f t="shared" si="2"/>
        <v>0</v>
      </c>
      <c r="E74" s="231" t="str">
        <f t="shared" si="3"/>
        <v>不适用</v>
      </c>
    </row>
    <row r="75" spans="1:5">
      <c r="A75" t="str">
        <f>负债表!A22</f>
        <v xml:space="preserve">            其中：应交税金</v>
      </c>
      <c r="B75">
        <f>负债表!B22</f>
        <v>0</v>
      </c>
      <c r="C75">
        <f>负债表!C22</f>
        <v>0</v>
      </c>
      <c r="D75" s="230">
        <f t="shared" si="2"/>
        <v>0</v>
      </c>
      <c r="E75" s="231" t="str">
        <f t="shared" si="3"/>
        <v>不适用</v>
      </c>
    </row>
    <row r="76" spans="1:5">
      <c r="A76" t="str">
        <f>负债表!A23</f>
        <v xml:space="preserve">        其他应付款</v>
      </c>
      <c r="B76">
        <f>负债表!B23</f>
        <v>0</v>
      </c>
      <c r="C76">
        <f>负债表!C23</f>
        <v>0</v>
      </c>
      <c r="D76" s="230">
        <f t="shared" si="2"/>
        <v>0</v>
      </c>
      <c r="E76" s="231" t="str">
        <f t="shared" si="3"/>
        <v>不适用</v>
      </c>
    </row>
    <row r="77" spans="1:5">
      <c r="A77" t="str">
        <f>负债表!A25</f>
        <v xml:space="preserve">      △应付手续费及佣金</v>
      </c>
      <c r="B77">
        <f>负债表!B25</f>
        <v>0</v>
      </c>
      <c r="C77">
        <f>负债表!C25</f>
        <v>0</v>
      </c>
      <c r="D77" s="230">
        <f t="shared" si="2"/>
        <v>0</v>
      </c>
      <c r="E77" s="231" t="str">
        <f t="shared" si="3"/>
        <v>不适用</v>
      </c>
    </row>
    <row r="78" spans="1:5">
      <c r="A78" t="str">
        <f>负债表!A26</f>
        <v xml:space="preserve">      △应付分保账款</v>
      </c>
      <c r="B78">
        <f>负债表!B26</f>
        <v>0</v>
      </c>
      <c r="C78">
        <f>负债表!C26</f>
        <v>0</v>
      </c>
      <c r="D78" s="230">
        <f t="shared" si="2"/>
        <v>0</v>
      </c>
      <c r="E78" s="231" t="str">
        <f t="shared" si="3"/>
        <v>不适用</v>
      </c>
    </row>
    <row r="79" spans="1:5">
      <c r="A79" t="str">
        <f>负债表!A27</f>
        <v xml:space="preserve">        持有待售负债</v>
      </c>
      <c r="B79">
        <f>负债表!B27</f>
        <v>0</v>
      </c>
      <c r="C79">
        <f>负债表!C27</f>
        <v>0</v>
      </c>
      <c r="D79" s="230">
        <f t="shared" si="2"/>
        <v>0</v>
      </c>
      <c r="E79" s="231" t="str">
        <f t="shared" si="3"/>
        <v>不适用</v>
      </c>
    </row>
    <row r="80" spans="1:5">
      <c r="A80" t="str">
        <f>负债表!A28</f>
        <v xml:space="preserve">        一年内到期的非流动负债</v>
      </c>
      <c r="B80">
        <f>负债表!B28</f>
        <v>0</v>
      </c>
      <c r="C80">
        <f>负债表!C28</f>
        <v>0</v>
      </c>
      <c r="D80" s="230">
        <f t="shared" si="2"/>
        <v>0</v>
      </c>
      <c r="E80" s="231" t="str">
        <f t="shared" si="3"/>
        <v>不适用</v>
      </c>
    </row>
    <row r="81" spans="1:5">
      <c r="A81" t="str">
        <f>负债表!A29</f>
        <v xml:space="preserve">        其他流动负债</v>
      </c>
      <c r="B81">
        <f>负债表!B29</f>
        <v>0</v>
      </c>
      <c r="C81">
        <f>负债表!C29</f>
        <v>0</v>
      </c>
      <c r="D81" s="230">
        <f t="shared" si="2"/>
        <v>0</v>
      </c>
      <c r="E81" s="231" t="str">
        <f t="shared" si="3"/>
        <v>不适用</v>
      </c>
    </row>
    <row r="82" spans="1:5">
      <c r="A82" t="str">
        <f>负债表!A30</f>
        <v>流动负债合计</v>
      </c>
      <c r="B82">
        <f>负债表!B30</f>
        <v>0</v>
      </c>
      <c r="C82">
        <f>负债表!C30</f>
        <v>0</v>
      </c>
      <c r="D82" s="230">
        <f t="shared" si="2"/>
        <v>0</v>
      </c>
      <c r="E82" s="231" t="str">
        <f t="shared" si="3"/>
        <v>不适用</v>
      </c>
    </row>
    <row r="83" spans="1:5">
      <c r="A83" t="str">
        <f>负债表!A31</f>
        <v>非流动负债：</v>
      </c>
      <c r="B83">
        <f>负债表!B31</f>
        <v>0</v>
      </c>
      <c r="C83">
        <f>负债表!C31</f>
        <v>0</v>
      </c>
      <c r="D83" s="230">
        <f t="shared" si="2"/>
        <v>0</v>
      </c>
      <c r="E83" s="231" t="str">
        <f t="shared" si="3"/>
        <v>不适用</v>
      </c>
    </row>
    <row r="84" spans="1:5">
      <c r="A84" t="str">
        <f>负债表!A32</f>
        <v xml:space="preserve">      △保险合同准备金</v>
      </c>
      <c r="B84">
        <f>负债表!B32</f>
        <v>0</v>
      </c>
      <c r="C84">
        <f>负债表!C32</f>
        <v>0</v>
      </c>
      <c r="D84" s="230">
        <f t="shared" si="2"/>
        <v>0</v>
      </c>
      <c r="E84" s="231" t="str">
        <f t="shared" si="3"/>
        <v>不适用</v>
      </c>
    </row>
    <row r="85" spans="1:5">
      <c r="A85" t="str">
        <f>负债表!A33</f>
        <v xml:space="preserve">        长期借款</v>
      </c>
      <c r="B85">
        <f>负债表!B33</f>
        <v>0</v>
      </c>
      <c r="C85">
        <f>负债表!C33</f>
        <v>0</v>
      </c>
      <c r="D85" s="230">
        <f t="shared" si="2"/>
        <v>0</v>
      </c>
      <c r="E85" s="231" t="str">
        <f t="shared" si="3"/>
        <v>不适用</v>
      </c>
    </row>
    <row r="86" spans="1:5">
      <c r="A86" t="str">
        <f>负债表!A34</f>
        <v xml:space="preserve">        应付债券</v>
      </c>
      <c r="B86">
        <f>负债表!B34</f>
        <v>0</v>
      </c>
      <c r="C86">
        <f>负债表!C34</f>
        <v>0</v>
      </c>
      <c r="D86" s="230">
        <f t="shared" si="2"/>
        <v>0</v>
      </c>
      <c r="E86" s="231" t="str">
        <f t="shared" si="3"/>
        <v>不适用</v>
      </c>
    </row>
    <row r="87" spans="1:5">
      <c r="A87" t="str">
        <f>负债表!A35</f>
        <v xml:space="preserve">            其中：优先股</v>
      </c>
      <c r="B87">
        <f>负债表!B35</f>
        <v>0</v>
      </c>
      <c r="C87">
        <f>负债表!C35</f>
        <v>0</v>
      </c>
      <c r="D87" s="230">
        <f t="shared" si="2"/>
        <v>0</v>
      </c>
      <c r="E87" s="231" t="str">
        <f t="shared" si="3"/>
        <v>不适用</v>
      </c>
    </row>
    <row r="88" spans="1:5">
      <c r="A88" t="str">
        <f>负债表!A36</f>
        <v xml:space="preserve">                  永续债</v>
      </c>
      <c r="B88">
        <f>负债表!B36</f>
        <v>0</v>
      </c>
      <c r="C88">
        <f>负债表!C36</f>
        <v>0</v>
      </c>
      <c r="D88" s="230">
        <f t="shared" si="2"/>
        <v>0</v>
      </c>
      <c r="E88" s="231" t="str">
        <f t="shared" si="3"/>
        <v>不适用</v>
      </c>
    </row>
    <row r="89" spans="1:5">
      <c r="A89" t="str">
        <f>负债表!A37</f>
        <v xml:space="preserve">      ☆租赁负债</v>
      </c>
      <c r="B89">
        <f>负债表!B37</f>
        <v>0</v>
      </c>
      <c r="C89">
        <f>负债表!C37</f>
        <v>0</v>
      </c>
      <c r="D89" s="230">
        <f t="shared" si="2"/>
        <v>0</v>
      </c>
      <c r="E89" s="231" t="str">
        <f t="shared" si="3"/>
        <v>不适用</v>
      </c>
    </row>
    <row r="90" spans="1:5">
      <c r="A90" t="str">
        <f>负债表!A38</f>
        <v xml:space="preserve">        长期应付款</v>
      </c>
      <c r="B90">
        <f>负债表!B38</f>
        <v>0</v>
      </c>
      <c r="C90">
        <f>负债表!C38</f>
        <v>0</v>
      </c>
      <c r="D90" s="230">
        <f t="shared" si="2"/>
        <v>0</v>
      </c>
      <c r="E90" s="231" t="str">
        <f t="shared" si="3"/>
        <v>不适用</v>
      </c>
    </row>
    <row r="91" spans="1:5">
      <c r="A91" t="str">
        <f>负债表!A39</f>
        <v xml:space="preserve">        长期应付职工薪酬</v>
      </c>
      <c r="B91">
        <f>负债表!B39</f>
        <v>0</v>
      </c>
      <c r="C91">
        <f>负债表!C39</f>
        <v>0</v>
      </c>
      <c r="D91" s="230">
        <f t="shared" si="2"/>
        <v>0</v>
      </c>
      <c r="E91" s="231" t="str">
        <f t="shared" si="3"/>
        <v>不适用</v>
      </c>
    </row>
    <row r="92" spans="1:5">
      <c r="A92" t="str">
        <f>负债表!A40</f>
        <v xml:space="preserve">        预计负债</v>
      </c>
      <c r="B92">
        <f>负债表!B40</f>
        <v>0</v>
      </c>
      <c r="C92">
        <f>负债表!C40</f>
        <v>0</v>
      </c>
      <c r="D92" s="230">
        <f t="shared" si="2"/>
        <v>0</v>
      </c>
      <c r="E92" s="231" t="str">
        <f t="shared" si="3"/>
        <v>不适用</v>
      </c>
    </row>
    <row r="93" spans="1:5">
      <c r="A93" t="str">
        <f>负债表!A41</f>
        <v xml:space="preserve">        递延收益</v>
      </c>
      <c r="B93">
        <f>负债表!B41</f>
        <v>0</v>
      </c>
      <c r="C93">
        <f>负债表!C41</f>
        <v>0</v>
      </c>
      <c r="D93" s="230">
        <f t="shared" si="2"/>
        <v>0</v>
      </c>
      <c r="E93" s="231" t="str">
        <f t="shared" si="3"/>
        <v>不适用</v>
      </c>
    </row>
    <row r="94" spans="1:5">
      <c r="A94" t="str">
        <f>负债表!A42</f>
        <v xml:space="preserve">        递延所得税负债</v>
      </c>
      <c r="B94">
        <f>负债表!B42</f>
        <v>0</v>
      </c>
      <c r="C94">
        <f>负债表!C42</f>
        <v>0</v>
      </c>
      <c r="D94" s="230">
        <f t="shared" si="2"/>
        <v>0</v>
      </c>
      <c r="E94" s="231" t="str">
        <f t="shared" si="3"/>
        <v>不适用</v>
      </c>
    </row>
    <row r="95" spans="1:5">
      <c r="A95" t="str">
        <f>负债表!A43</f>
        <v xml:space="preserve">        其他非流动负债</v>
      </c>
      <c r="B95">
        <f>负债表!B43</f>
        <v>0</v>
      </c>
      <c r="C95">
        <f>负债表!C43</f>
        <v>0</v>
      </c>
      <c r="D95" s="230">
        <f t="shared" si="2"/>
        <v>0</v>
      </c>
      <c r="E95" s="231" t="str">
        <f t="shared" si="3"/>
        <v>不适用</v>
      </c>
    </row>
    <row r="96" spans="1:5">
      <c r="A96" t="str">
        <f>负债表!A44</f>
        <v xml:space="preserve">            其中：特准储备基金</v>
      </c>
      <c r="B96">
        <f>负债表!B44</f>
        <v>0</v>
      </c>
      <c r="C96">
        <f>负债表!C44</f>
        <v>0</v>
      </c>
      <c r="D96" s="230">
        <f t="shared" si="2"/>
        <v>0</v>
      </c>
      <c r="E96" s="231" t="str">
        <f t="shared" si="3"/>
        <v>不适用</v>
      </c>
    </row>
    <row r="97" spans="1:5">
      <c r="A97" t="str">
        <f>负债表!A45</f>
        <v>非流动负债合计</v>
      </c>
      <c r="B97">
        <f>负债表!B45</f>
        <v>0</v>
      </c>
      <c r="C97">
        <f>负债表!C45</f>
        <v>0</v>
      </c>
      <c r="D97" s="230">
        <f t="shared" si="2"/>
        <v>0</v>
      </c>
      <c r="E97" s="231" t="str">
        <f t="shared" si="3"/>
        <v>不适用</v>
      </c>
    </row>
    <row r="98" spans="1:5">
      <c r="A98" t="str">
        <f>负债表!A46</f>
        <v>负 债 合 计</v>
      </c>
      <c r="B98">
        <f>负债表!B46</f>
        <v>0</v>
      </c>
      <c r="C98">
        <f>负债表!C46</f>
        <v>0</v>
      </c>
      <c r="D98" s="230">
        <f t="shared" si="2"/>
        <v>0</v>
      </c>
      <c r="E98" s="231" t="str">
        <f t="shared" si="3"/>
        <v>不适用</v>
      </c>
    </row>
    <row r="99" spans="1:5">
      <c r="A99" t="str">
        <f>负债表!A47</f>
        <v>所有者权益（或股东权益）：</v>
      </c>
      <c r="B99">
        <f>负债表!B47</f>
        <v>0</v>
      </c>
      <c r="C99">
        <f>负债表!C47</f>
        <v>0</v>
      </c>
      <c r="D99" s="230">
        <f t="shared" si="2"/>
        <v>0</v>
      </c>
      <c r="E99" s="231" t="str">
        <f t="shared" si="3"/>
        <v>不适用</v>
      </c>
    </row>
    <row r="100" spans="1:5">
      <c r="A100" t="str">
        <f>负债表!A48</f>
        <v xml:space="preserve">        实收资本（或股本）</v>
      </c>
      <c r="B100">
        <f>负债表!B48</f>
        <v>0</v>
      </c>
      <c r="C100">
        <f>负债表!C48</f>
        <v>0</v>
      </c>
      <c r="D100" s="230">
        <f t="shared" si="2"/>
        <v>0</v>
      </c>
      <c r="E100" s="231" t="str">
        <f t="shared" si="3"/>
        <v>不适用</v>
      </c>
    </row>
    <row r="101" spans="1:5">
      <c r="A101" t="str">
        <f>负债表!A49</f>
        <v xml:space="preserve">            国家资本</v>
      </c>
      <c r="B101">
        <f>负债表!B49</f>
        <v>0</v>
      </c>
      <c r="C101">
        <f>负债表!C49</f>
        <v>0</v>
      </c>
      <c r="D101" s="230">
        <f t="shared" si="2"/>
        <v>0</v>
      </c>
      <c r="E101" s="231" t="str">
        <f t="shared" si="3"/>
        <v>不适用</v>
      </c>
    </row>
    <row r="102" spans="1:5">
      <c r="A102" t="str">
        <f>负债表!A50</f>
        <v xml:space="preserve">            国有法人资本</v>
      </c>
      <c r="B102">
        <f>负债表!B50</f>
        <v>0</v>
      </c>
      <c r="C102">
        <f>负债表!C50</f>
        <v>0</v>
      </c>
      <c r="D102" s="230">
        <f t="shared" si="2"/>
        <v>0</v>
      </c>
      <c r="E102" s="231" t="str">
        <f t="shared" si="3"/>
        <v>不适用</v>
      </c>
    </row>
    <row r="103" spans="1:5">
      <c r="A103" t="str">
        <f>负债表!A51</f>
        <v xml:space="preserve">            集体资本</v>
      </c>
      <c r="B103">
        <f>负债表!B51</f>
        <v>0</v>
      </c>
      <c r="C103">
        <f>负债表!C51</f>
        <v>0</v>
      </c>
      <c r="D103" s="230">
        <f t="shared" si="2"/>
        <v>0</v>
      </c>
      <c r="E103" s="231" t="str">
        <f t="shared" si="3"/>
        <v>不适用</v>
      </c>
    </row>
    <row r="104" spans="1:5">
      <c r="A104" t="str">
        <f>负债表!A52</f>
        <v xml:space="preserve">            民营资本</v>
      </c>
      <c r="B104">
        <f>负债表!B52</f>
        <v>0</v>
      </c>
      <c r="C104">
        <f>负债表!C52</f>
        <v>0</v>
      </c>
      <c r="D104" s="230">
        <f t="shared" si="2"/>
        <v>0</v>
      </c>
      <c r="E104" s="231" t="str">
        <f t="shared" si="3"/>
        <v>不适用</v>
      </c>
    </row>
    <row r="105" spans="1:5">
      <c r="A105" t="str">
        <f>负债表!A53</f>
        <v xml:space="preserve">            外商资本</v>
      </c>
      <c r="B105">
        <f>负债表!B53</f>
        <v>0</v>
      </c>
      <c r="C105">
        <f>负债表!C53</f>
        <v>0</v>
      </c>
      <c r="D105" s="230">
        <f t="shared" si="2"/>
        <v>0</v>
      </c>
      <c r="E105" s="231" t="str">
        <f t="shared" si="3"/>
        <v>不适用</v>
      </c>
    </row>
    <row r="106" spans="1:5">
      <c r="A106" t="str">
        <f>负债表!A54</f>
        <v xml:space="preserve">       #减：已归还投资</v>
      </c>
      <c r="B106">
        <f>负债表!B54</f>
        <v>0</v>
      </c>
      <c r="C106">
        <f>负债表!C54</f>
        <v>0</v>
      </c>
      <c r="D106" s="230">
        <f t="shared" si="2"/>
        <v>0</v>
      </c>
      <c r="E106" s="231" t="str">
        <f t="shared" si="3"/>
        <v>不适用</v>
      </c>
    </row>
    <row r="107" spans="1:5">
      <c r="A107" t="str">
        <f>负债表!A55</f>
        <v xml:space="preserve">        实收资本（或股本）净额</v>
      </c>
      <c r="B107">
        <f>负债表!B55</f>
        <v>0</v>
      </c>
      <c r="C107">
        <f>负债表!C55</f>
        <v>0</v>
      </c>
      <c r="D107" s="230">
        <f t="shared" si="2"/>
        <v>0</v>
      </c>
      <c r="E107" s="231" t="str">
        <f t="shared" si="3"/>
        <v>不适用</v>
      </c>
    </row>
    <row r="108" spans="1:5">
      <c r="A108" t="str">
        <f>负债表!A56</f>
        <v xml:space="preserve">        其他权益工具</v>
      </c>
      <c r="B108">
        <f>负债表!B56</f>
        <v>0</v>
      </c>
      <c r="C108">
        <f>负债表!C56</f>
        <v>0</v>
      </c>
      <c r="D108" s="230">
        <f t="shared" si="2"/>
        <v>0</v>
      </c>
      <c r="E108" s="231" t="str">
        <f t="shared" si="3"/>
        <v>不适用</v>
      </c>
    </row>
    <row r="109" spans="1:5">
      <c r="A109" t="str">
        <f>负债表!A57</f>
        <v xml:space="preserve">            其中：优先股</v>
      </c>
      <c r="B109">
        <f>负债表!B57</f>
        <v>0</v>
      </c>
      <c r="C109">
        <f>负债表!C57</f>
        <v>0</v>
      </c>
      <c r="D109" s="230">
        <f t="shared" si="2"/>
        <v>0</v>
      </c>
      <c r="E109" s="231" t="str">
        <f t="shared" si="3"/>
        <v>不适用</v>
      </c>
    </row>
    <row r="110" spans="1:5">
      <c r="A110" t="str">
        <f>负债表!A58</f>
        <v xml:space="preserve">                  永续债</v>
      </c>
      <c r="B110">
        <f>负债表!B58</f>
        <v>0</v>
      </c>
      <c r="C110">
        <f>负债表!C58</f>
        <v>0</v>
      </c>
      <c r="D110" s="230">
        <f t="shared" si="2"/>
        <v>0</v>
      </c>
      <c r="E110" s="231" t="str">
        <f t="shared" si="3"/>
        <v>不适用</v>
      </c>
    </row>
    <row r="111" spans="1:5">
      <c r="A111" t="str">
        <f>负债表!A59</f>
        <v xml:space="preserve">        资本公积</v>
      </c>
      <c r="B111">
        <f>负债表!B59</f>
        <v>0</v>
      </c>
      <c r="C111">
        <f>负债表!C59</f>
        <v>0</v>
      </c>
      <c r="D111" s="230">
        <f t="shared" si="2"/>
        <v>0</v>
      </c>
      <c r="E111" s="231" t="str">
        <f t="shared" si="3"/>
        <v>不适用</v>
      </c>
    </row>
    <row r="112" spans="1:5">
      <c r="A112" t="str">
        <f>负债表!A60</f>
        <v xml:space="preserve">        减：库存股</v>
      </c>
      <c r="B112">
        <f>负债表!B60</f>
        <v>0</v>
      </c>
      <c r="C112">
        <f>负债表!C60</f>
        <v>0</v>
      </c>
      <c r="D112" s="230">
        <f t="shared" si="2"/>
        <v>0</v>
      </c>
      <c r="E112" s="231" t="str">
        <f t="shared" si="3"/>
        <v>不适用</v>
      </c>
    </row>
    <row r="113" spans="1:5">
      <c r="A113" t="str">
        <f>负债表!A61</f>
        <v xml:space="preserve">        其他综合收益</v>
      </c>
      <c r="B113">
        <f>负债表!B61</f>
        <v>0</v>
      </c>
      <c r="C113">
        <f>负债表!C61</f>
        <v>0</v>
      </c>
      <c r="D113" s="230">
        <f t="shared" si="2"/>
        <v>0</v>
      </c>
      <c r="E113" s="231" t="str">
        <f t="shared" si="3"/>
        <v>不适用</v>
      </c>
    </row>
    <row r="114" spans="1:5">
      <c r="A114" t="str">
        <f>负债表!A62</f>
        <v xml:space="preserve">            其中：外币报表折算差额</v>
      </c>
      <c r="B114">
        <f>负债表!B62</f>
        <v>0</v>
      </c>
      <c r="C114">
        <f>负债表!C62</f>
        <v>0</v>
      </c>
      <c r="D114" s="230">
        <f t="shared" si="2"/>
        <v>0</v>
      </c>
      <c r="E114" s="231" t="str">
        <f t="shared" si="3"/>
        <v>不适用</v>
      </c>
    </row>
    <row r="115" spans="1:5">
      <c r="A115" t="str">
        <f>负债表!A63</f>
        <v xml:space="preserve">        专项储备</v>
      </c>
      <c r="B115">
        <f>负债表!B63</f>
        <v>0</v>
      </c>
      <c r="C115">
        <f>负债表!C63</f>
        <v>0</v>
      </c>
      <c r="D115" s="230">
        <f t="shared" si="2"/>
        <v>0</v>
      </c>
      <c r="E115" s="231" t="str">
        <f t="shared" si="3"/>
        <v>不适用</v>
      </c>
    </row>
    <row r="116" spans="1:5">
      <c r="A116" t="str">
        <f>负债表!A64</f>
        <v xml:space="preserve">        盈余公积</v>
      </c>
      <c r="B116">
        <f>负债表!B64</f>
        <v>0</v>
      </c>
      <c r="C116">
        <f>负债表!C64</f>
        <v>0</v>
      </c>
      <c r="D116" s="230">
        <f t="shared" si="2"/>
        <v>0</v>
      </c>
      <c r="E116" s="231" t="str">
        <f t="shared" si="3"/>
        <v>不适用</v>
      </c>
    </row>
    <row r="117" spans="1:5">
      <c r="A117" t="str">
        <f>负债表!A65</f>
        <v xml:space="preserve">            其中：法定公积金</v>
      </c>
      <c r="B117">
        <f>负债表!B65</f>
        <v>0</v>
      </c>
      <c r="C117">
        <f>负债表!C65</f>
        <v>0</v>
      </c>
      <c r="D117" s="230">
        <f t="shared" si="2"/>
        <v>0</v>
      </c>
      <c r="E117" s="231" t="str">
        <f t="shared" si="3"/>
        <v>不适用</v>
      </c>
    </row>
    <row r="118" spans="1:5">
      <c r="A118" t="str">
        <f>负债表!A66</f>
        <v xml:space="preserve">                  任意公积金</v>
      </c>
      <c r="B118">
        <f>负债表!B66</f>
        <v>0</v>
      </c>
      <c r="C118">
        <f>负债表!C66</f>
        <v>0</v>
      </c>
      <c r="D118" s="230">
        <f t="shared" si="2"/>
        <v>0</v>
      </c>
      <c r="E118" s="231" t="str">
        <f t="shared" si="3"/>
        <v>不适用</v>
      </c>
    </row>
    <row r="119" spans="1:5">
      <c r="A119" t="str">
        <f>负债表!A67</f>
        <v xml:space="preserve">                 #储备基金</v>
      </c>
      <c r="B119">
        <f>负债表!B67</f>
        <v>0</v>
      </c>
      <c r="C119">
        <f>负债表!C67</f>
        <v>0</v>
      </c>
      <c r="D119" s="230">
        <f t="shared" si="2"/>
        <v>0</v>
      </c>
      <c r="E119" s="231" t="str">
        <f t="shared" si="3"/>
        <v>不适用</v>
      </c>
    </row>
    <row r="120" spans="1:5">
      <c r="A120" t="str">
        <f>负债表!A68</f>
        <v xml:space="preserve">                 #企业发展基金</v>
      </c>
      <c r="B120">
        <f>负债表!B68</f>
        <v>0</v>
      </c>
      <c r="C120">
        <f>负债表!C68</f>
        <v>0</v>
      </c>
      <c r="D120" s="230">
        <f t="shared" si="2"/>
        <v>0</v>
      </c>
      <c r="E120" s="231" t="str">
        <f t="shared" si="3"/>
        <v>不适用</v>
      </c>
    </row>
    <row r="121" spans="1:5">
      <c r="A121" t="str">
        <f>负债表!A69</f>
        <v xml:space="preserve">                 #利润归还投资</v>
      </c>
      <c r="B121">
        <f>负债表!B69</f>
        <v>0</v>
      </c>
      <c r="C121">
        <f>负债表!C69</f>
        <v>0</v>
      </c>
      <c r="D121" s="230">
        <f t="shared" si="2"/>
        <v>0</v>
      </c>
      <c r="E121" s="231" t="str">
        <f t="shared" si="3"/>
        <v>不适用</v>
      </c>
    </row>
    <row r="122" spans="1:5">
      <c r="A122" t="str">
        <f>负债表!A70</f>
        <v xml:space="preserve">      △一般风险准备</v>
      </c>
      <c r="B122">
        <f>负债表!B70</f>
        <v>0</v>
      </c>
      <c r="C122">
        <f>负债表!C70</f>
        <v>0</v>
      </c>
      <c r="D122" s="230">
        <f t="shared" si="2"/>
        <v>0</v>
      </c>
      <c r="E122" s="231" t="str">
        <f t="shared" si="3"/>
        <v>不适用</v>
      </c>
    </row>
    <row r="123" spans="1:5">
      <c r="A123" t="str">
        <f>负债表!A71</f>
        <v xml:space="preserve">        未分配利润</v>
      </c>
      <c r="B123">
        <f>负债表!B71</f>
        <v>0</v>
      </c>
      <c r="C123">
        <f>负债表!C71</f>
        <v>0</v>
      </c>
      <c r="D123" s="230">
        <f t="shared" si="2"/>
        <v>0</v>
      </c>
      <c r="E123" s="231" t="str">
        <f t="shared" si="3"/>
        <v>不适用</v>
      </c>
    </row>
    <row r="124" spans="1:5">
      <c r="A124" t="str">
        <f>负债表!A72</f>
        <v>归属于母公司所有者权益（或股东权益）合计</v>
      </c>
      <c r="B124">
        <f>负债表!B72</f>
        <v>0</v>
      </c>
      <c r="C124">
        <f>负债表!C72</f>
        <v>0</v>
      </c>
      <c r="D124" s="230">
        <f t="shared" si="2"/>
        <v>0</v>
      </c>
      <c r="E124" s="231" t="str">
        <f t="shared" si="3"/>
        <v>不适用</v>
      </c>
    </row>
    <row r="125" spans="1:5">
      <c r="A125" t="str">
        <f>负债表!A73</f>
        <v xml:space="preserve">       *少数股东权益</v>
      </c>
      <c r="B125">
        <f>负债表!B73</f>
        <v>0</v>
      </c>
      <c r="C125">
        <f>负债表!C73</f>
        <v>0</v>
      </c>
      <c r="D125" s="230">
        <f t="shared" si="2"/>
        <v>0</v>
      </c>
      <c r="E125" s="231" t="str">
        <f t="shared" si="3"/>
        <v>不适用</v>
      </c>
    </row>
    <row r="126" spans="1:5">
      <c r="A126" t="str">
        <f>负债表!A74</f>
        <v>所有者权益（或股东权益）合计</v>
      </c>
      <c r="B126">
        <f>负债表!B74</f>
        <v>0</v>
      </c>
      <c r="C126">
        <f>负债表!C74</f>
        <v>0</v>
      </c>
      <c r="D126" s="230">
        <f t="shared" si="2"/>
        <v>0</v>
      </c>
      <c r="E126" s="231" t="str">
        <f t="shared" si="3"/>
        <v>不适用</v>
      </c>
    </row>
    <row r="127" spans="1:5">
      <c r="A127" t="str">
        <f>负债表!A75</f>
        <v>负债和所有者权益（或股东权益）总计</v>
      </c>
      <c r="B127">
        <f>负债表!B75</f>
        <v>0</v>
      </c>
      <c r="C127">
        <f>负债表!C75</f>
        <v>0</v>
      </c>
      <c r="D127" s="230">
        <f t="shared" si="2"/>
        <v>0</v>
      </c>
      <c r="E127" s="231" t="str">
        <f t="shared" si="3"/>
        <v>不适用</v>
      </c>
    </row>
    <row r="128" spans="1:5">
      <c r="A128" t="str">
        <f>利润表!A1</f>
        <v>项            目</v>
      </c>
      <c r="D128" s="230">
        <f t="shared" si="2"/>
        <v>0</v>
      </c>
      <c r="E128" s="231" t="str">
        <f t="shared" si="3"/>
        <v>不适用</v>
      </c>
    </row>
    <row r="129" spans="1:5">
      <c r="A129" t="str">
        <f>利润表!A2</f>
        <v>一、营业总收入</v>
      </c>
      <c r="B129">
        <f>利润表!B2</f>
        <v>0</v>
      </c>
      <c r="C129">
        <f>利润表!C2</f>
        <v>0</v>
      </c>
      <c r="D129" s="230">
        <f t="shared" si="2"/>
        <v>0</v>
      </c>
      <c r="E129" s="231" t="str">
        <f t="shared" si="3"/>
        <v>不适用</v>
      </c>
    </row>
    <row r="130" spans="1:5">
      <c r="A130" t="str">
        <f>利润表!A3</f>
        <v xml:space="preserve">    其中：营业收入</v>
      </c>
      <c r="B130">
        <f>利润表!B3</f>
        <v>0</v>
      </c>
      <c r="C130">
        <f>利润表!C3</f>
        <v>0</v>
      </c>
      <c r="D130" s="230">
        <f t="shared" si="2"/>
        <v>0</v>
      </c>
      <c r="E130" s="231" t="str">
        <f t="shared" si="3"/>
        <v>不适用</v>
      </c>
    </row>
    <row r="131" spans="1:5">
      <c r="A131" t="str">
        <f>利润表!A4</f>
        <v xml:space="preserve">        △利息收入</v>
      </c>
      <c r="B131">
        <f>利润表!B4</f>
        <v>0</v>
      </c>
      <c r="C131">
        <f>利润表!C4</f>
        <v>0</v>
      </c>
      <c r="D131" s="230">
        <f t="shared" si="2"/>
        <v>0</v>
      </c>
      <c r="E131" s="231" t="str">
        <f t="shared" si="3"/>
        <v>不适用</v>
      </c>
    </row>
    <row r="132" spans="1:5">
      <c r="A132" t="str">
        <f>利润表!A5</f>
        <v xml:space="preserve">        △已赚保费</v>
      </c>
      <c r="B132">
        <f>利润表!B5</f>
        <v>0</v>
      </c>
      <c r="C132">
        <f>利润表!C5</f>
        <v>0</v>
      </c>
      <c r="D132" s="230">
        <f t="shared" si="2"/>
        <v>0</v>
      </c>
      <c r="E132" s="231" t="str">
        <f t="shared" si="3"/>
        <v>不适用</v>
      </c>
    </row>
    <row r="133" spans="1:5">
      <c r="A133" t="str">
        <f>利润表!A6</f>
        <v xml:space="preserve">        △手续费及佣金收入</v>
      </c>
      <c r="B133">
        <f>利润表!B6</f>
        <v>0</v>
      </c>
      <c r="C133">
        <f>利润表!C6</f>
        <v>0</v>
      </c>
      <c r="D133" s="230">
        <f t="shared" si="2"/>
        <v>0</v>
      </c>
      <c r="E133" s="231" t="str">
        <f t="shared" si="3"/>
        <v>不适用</v>
      </c>
    </row>
    <row r="134" spans="1:5">
      <c r="A134" t="str">
        <f>利润表!A7</f>
        <v>二、营业总成本</v>
      </c>
      <c r="B134">
        <f>利润表!B7</f>
        <v>0</v>
      </c>
      <c r="C134">
        <f>利润表!C7</f>
        <v>0</v>
      </c>
      <c r="D134" s="230">
        <f t="shared" si="2"/>
        <v>0</v>
      </c>
      <c r="E134" s="231" t="str">
        <f t="shared" si="3"/>
        <v>不适用</v>
      </c>
    </row>
    <row r="135" spans="1:5">
      <c r="A135" t="str">
        <f>利润表!A8</f>
        <v xml:space="preserve">    其中：营业成本</v>
      </c>
      <c r="B135">
        <f>利润表!B8</f>
        <v>0</v>
      </c>
      <c r="C135">
        <f>利润表!C8</f>
        <v>0</v>
      </c>
      <c r="D135" s="230">
        <f t="shared" ref="D135:D198" si="4">B135-C135</f>
        <v>0</v>
      </c>
      <c r="E135" s="231" t="str">
        <f t="shared" ref="E135:E198" si="5">IFERROR(D135/C135,"不适用")</f>
        <v>不适用</v>
      </c>
    </row>
    <row r="136" spans="1:5">
      <c r="A136" t="str">
        <f>利润表!A9</f>
        <v xml:space="preserve">        △利息支出</v>
      </c>
      <c r="B136">
        <f>利润表!B9</f>
        <v>0</v>
      </c>
      <c r="C136">
        <f>利润表!C9</f>
        <v>0</v>
      </c>
      <c r="D136" s="230">
        <f t="shared" si="4"/>
        <v>0</v>
      </c>
      <c r="E136" s="231" t="str">
        <f t="shared" si="5"/>
        <v>不适用</v>
      </c>
    </row>
    <row r="137" spans="1:5">
      <c r="A137" t="str">
        <f>利润表!A10</f>
        <v xml:space="preserve">        △手续费及佣金支出</v>
      </c>
      <c r="B137">
        <f>利润表!B10</f>
        <v>0</v>
      </c>
      <c r="C137">
        <f>利润表!C10</f>
        <v>0</v>
      </c>
      <c r="D137" s="230">
        <f t="shared" si="4"/>
        <v>0</v>
      </c>
      <c r="E137" s="231" t="str">
        <f t="shared" si="5"/>
        <v>不适用</v>
      </c>
    </row>
    <row r="138" spans="1:5">
      <c r="A138" t="str">
        <f>利润表!A11</f>
        <v xml:space="preserve">        △退保金</v>
      </c>
      <c r="B138">
        <f>利润表!B11</f>
        <v>0</v>
      </c>
      <c r="C138">
        <f>利润表!C11</f>
        <v>0</v>
      </c>
      <c r="D138" s="230">
        <f t="shared" si="4"/>
        <v>0</v>
      </c>
      <c r="E138" s="231" t="str">
        <f t="shared" si="5"/>
        <v>不适用</v>
      </c>
    </row>
    <row r="139" spans="1:5">
      <c r="A139" t="str">
        <f>利润表!A12</f>
        <v xml:space="preserve">        △赔付支出净额</v>
      </c>
      <c r="B139">
        <f>利润表!B12</f>
        <v>0</v>
      </c>
      <c r="C139">
        <f>利润表!C12</f>
        <v>0</v>
      </c>
      <c r="D139" s="230">
        <f t="shared" si="4"/>
        <v>0</v>
      </c>
      <c r="E139" s="231" t="str">
        <f t="shared" si="5"/>
        <v>不适用</v>
      </c>
    </row>
    <row r="140" spans="1:5">
      <c r="A140" t="str">
        <f>利润表!A13</f>
        <v xml:space="preserve">        △提取保险责任准备金净额</v>
      </c>
      <c r="B140">
        <f>利润表!B13</f>
        <v>0</v>
      </c>
      <c r="C140">
        <f>利润表!C13</f>
        <v>0</v>
      </c>
      <c r="D140" s="230">
        <f t="shared" si="4"/>
        <v>0</v>
      </c>
      <c r="E140" s="231" t="str">
        <f t="shared" si="5"/>
        <v>不适用</v>
      </c>
    </row>
    <row r="141" spans="1:5">
      <c r="A141" t="str">
        <f>利润表!A14</f>
        <v xml:space="preserve">        △保单红利支出</v>
      </c>
      <c r="B141">
        <f>利润表!B14</f>
        <v>0</v>
      </c>
      <c r="C141">
        <f>利润表!C14</f>
        <v>0</v>
      </c>
      <c r="D141" s="230">
        <f t="shared" si="4"/>
        <v>0</v>
      </c>
      <c r="E141" s="231" t="str">
        <f t="shared" si="5"/>
        <v>不适用</v>
      </c>
    </row>
    <row r="142" spans="1:5">
      <c r="A142" t="str">
        <f>利润表!A15</f>
        <v xml:space="preserve">        △分保费用</v>
      </c>
      <c r="B142">
        <f>利润表!B15</f>
        <v>0</v>
      </c>
      <c r="C142">
        <f>利润表!C15</f>
        <v>0</v>
      </c>
      <c r="D142" s="230">
        <f t="shared" si="4"/>
        <v>0</v>
      </c>
      <c r="E142" s="231" t="str">
        <f t="shared" si="5"/>
        <v>不适用</v>
      </c>
    </row>
    <row r="143" spans="1:5">
      <c r="A143" t="str">
        <f>利润表!A16</f>
        <v xml:space="preserve">          税金及附加</v>
      </c>
      <c r="B143">
        <f>利润表!B16</f>
        <v>0</v>
      </c>
      <c r="C143">
        <f>利润表!C16</f>
        <v>0</v>
      </c>
      <c r="D143" s="230">
        <f t="shared" si="4"/>
        <v>0</v>
      </c>
      <c r="E143" s="231" t="str">
        <f t="shared" si="5"/>
        <v>不适用</v>
      </c>
    </row>
    <row r="144" spans="1:5">
      <c r="A144" t="str">
        <f>利润表!A17</f>
        <v xml:space="preserve">          销售费用</v>
      </c>
      <c r="B144">
        <f>利润表!B17</f>
        <v>0</v>
      </c>
      <c r="C144">
        <f>利润表!C17</f>
        <v>0</v>
      </c>
      <c r="D144" s="230">
        <f t="shared" si="4"/>
        <v>0</v>
      </c>
      <c r="E144" s="231" t="str">
        <f t="shared" si="5"/>
        <v>不适用</v>
      </c>
    </row>
    <row r="145" spans="1:5">
      <c r="A145" t="str">
        <f>利润表!A18</f>
        <v xml:space="preserve">          管理费用</v>
      </c>
      <c r="B145">
        <f>利润表!B18</f>
        <v>0</v>
      </c>
      <c r="C145">
        <f>利润表!C18</f>
        <v>0</v>
      </c>
      <c r="D145" s="230">
        <f t="shared" si="4"/>
        <v>0</v>
      </c>
      <c r="E145" s="231" t="str">
        <f t="shared" si="5"/>
        <v>不适用</v>
      </c>
    </row>
    <row r="146" spans="1:5">
      <c r="A146" t="str">
        <f>利润表!A19</f>
        <v xml:space="preserve">            其中：党建工作经费</v>
      </c>
      <c r="B146">
        <f>利润表!B19</f>
        <v>0</v>
      </c>
      <c r="C146">
        <f>利润表!C19</f>
        <v>0</v>
      </c>
      <c r="D146" s="230">
        <f t="shared" si="4"/>
        <v>0</v>
      </c>
      <c r="E146" s="231" t="str">
        <f t="shared" si="5"/>
        <v>不适用</v>
      </c>
    </row>
    <row r="147" spans="1:5">
      <c r="A147" t="str">
        <f>利润表!A20</f>
        <v xml:space="preserve">          研发费用</v>
      </c>
      <c r="B147">
        <f>利润表!B20</f>
        <v>0</v>
      </c>
      <c r="C147">
        <f>利润表!C20</f>
        <v>0</v>
      </c>
      <c r="D147" s="230">
        <f t="shared" si="4"/>
        <v>0</v>
      </c>
      <c r="E147" s="231" t="str">
        <f t="shared" si="5"/>
        <v>不适用</v>
      </c>
    </row>
    <row r="148" spans="1:5">
      <c r="A148" t="str">
        <f>利润表!A21</f>
        <v xml:space="preserve">          财务费用</v>
      </c>
      <c r="B148">
        <f>利润表!B21</f>
        <v>0</v>
      </c>
      <c r="C148">
        <f>利润表!C21</f>
        <v>0</v>
      </c>
      <c r="D148" s="230">
        <f t="shared" si="4"/>
        <v>0</v>
      </c>
      <c r="E148" s="231" t="str">
        <f t="shared" si="5"/>
        <v>不适用</v>
      </c>
    </row>
    <row r="149" spans="1:5">
      <c r="A149" t="str">
        <f>利润表!A22</f>
        <v xml:space="preserve">            其中：利息费用</v>
      </c>
      <c r="B149">
        <f>利润表!B22</f>
        <v>0</v>
      </c>
      <c r="C149">
        <f>利润表!C22</f>
        <v>0</v>
      </c>
      <c r="D149" s="230">
        <f t="shared" si="4"/>
        <v>0</v>
      </c>
      <c r="E149" s="231" t="str">
        <f t="shared" si="5"/>
        <v>不适用</v>
      </c>
    </row>
    <row r="150" spans="1:5">
      <c r="A150" t="str">
        <f>利润表!A23</f>
        <v xml:space="preserve">                  利息收入</v>
      </c>
      <c r="B150">
        <f>利润表!B23</f>
        <v>0</v>
      </c>
      <c r="C150">
        <f>利润表!C23</f>
        <v>0</v>
      </c>
      <c r="D150" s="230">
        <f t="shared" si="4"/>
        <v>0</v>
      </c>
      <c r="E150" s="231" t="str">
        <f t="shared" si="5"/>
        <v>不适用</v>
      </c>
    </row>
    <row r="151" spans="1:5">
      <c r="A151" t="str">
        <f>利润表!A24</f>
        <v xml:space="preserve">                  汇兑净损失（净收益以“-”号填列）</v>
      </c>
      <c r="B151">
        <f>利润表!B24</f>
        <v>0</v>
      </c>
      <c r="C151">
        <f>利润表!C24</f>
        <v>0</v>
      </c>
      <c r="D151" s="230">
        <f t="shared" si="4"/>
        <v>0</v>
      </c>
      <c r="E151" s="231" t="str">
        <f t="shared" si="5"/>
        <v>不适用</v>
      </c>
    </row>
    <row r="152" spans="1:5">
      <c r="A152" t="str">
        <f>利润表!A25</f>
        <v xml:space="preserve">          其他</v>
      </c>
      <c r="B152">
        <f>利润表!B25</f>
        <v>0</v>
      </c>
      <c r="C152">
        <f>利润表!C25</f>
        <v>0</v>
      </c>
      <c r="D152" s="230">
        <f t="shared" si="4"/>
        <v>0</v>
      </c>
      <c r="E152" s="231" t="str">
        <f t="shared" si="5"/>
        <v>不适用</v>
      </c>
    </row>
    <row r="153" spans="1:5">
      <c r="A153" t="str">
        <f>利润表!A26</f>
        <v xml:space="preserve">      加：其他收益</v>
      </c>
      <c r="B153">
        <f>利润表!B26</f>
        <v>0</v>
      </c>
      <c r="C153">
        <f>利润表!C26</f>
        <v>0</v>
      </c>
      <c r="D153" s="230">
        <f t="shared" si="4"/>
        <v>0</v>
      </c>
      <c r="E153" s="231" t="str">
        <f t="shared" si="5"/>
        <v>不适用</v>
      </c>
    </row>
    <row r="154" spans="1:5">
      <c r="A154" t="str">
        <f>利润表!A27</f>
        <v xml:space="preserve">          投资收益（损失以“-”号填列）</v>
      </c>
      <c r="B154">
        <f>利润表!B27</f>
        <v>0</v>
      </c>
      <c r="C154">
        <f>利润表!C27</f>
        <v>0</v>
      </c>
      <c r="D154" s="230">
        <f t="shared" si="4"/>
        <v>0</v>
      </c>
      <c r="E154" s="231" t="str">
        <f t="shared" si="5"/>
        <v>不适用</v>
      </c>
    </row>
    <row r="155" spans="1:5">
      <c r="A155" t="str">
        <f>利润表!A28</f>
        <v xml:space="preserve">            其中：对联营企业和合营企业的投资收益</v>
      </c>
      <c r="B155">
        <f>利润表!B28</f>
        <v>0</v>
      </c>
      <c r="C155">
        <f>利润表!C28</f>
        <v>0</v>
      </c>
      <c r="D155" s="230">
        <f t="shared" si="4"/>
        <v>0</v>
      </c>
      <c r="E155" s="231" t="str">
        <f t="shared" si="5"/>
        <v>不适用</v>
      </c>
    </row>
    <row r="156" spans="1:5">
      <c r="A156" t="str">
        <f>利润表!A29</f>
        <v xml:space="preserve">                ☆以摊余成本计量的金融资产终止确认收益</v>
      </c>
      <c r="B156">
        <f>利润表!B29</f>
        <v>0</v>
      </c>
      <c r="C156">
        <f>利润表!C29</f>
        <v>0</v>
      </c>
      <c r="D156" s="230">
        <f t="shared" si="4"/>
        <v>0</v>
      </c>
      <c r="E156" s="231" t="str">
        <f t="shared" si="5"/>
        <v>不适用</v>
      </c>
    </row>
    <row r="157" spans="1:5">
      <c r="A157" t="str">
        <f>利润表!A30</f>
        <v xml:space="preserve">        △汇兑收益（损失以“-”号填列）</v>
      </c>
      <c r="B157">
        <f>利润表!B30</f>
        <v>0</v>
      </c>
      <c r="C157">
        <f>利润表!C30</f>
        <v>0</v>
      </c>
      <c r="D157" s="230">
        <f t="shared" si="4"/>
        <v>0</v>
      </c>
      <c r="E157" s="231" t="str">
        <f t="shared" si="5"/>
        <v>不适用</v>
      </c>
    </row>
    <row r="158" spans="1:5">
      <c r="A158" t="str">
        <f>利润表!A31</f>
        <v xml:space="preserve">        ☆净敞口套期收益（损失以“-”号填列)</v>
      </c>
      <c r="B158">
        <f>利润表!B31</f>
        <v>0</v>
      </c>
      <c r="C158">
        <f>利润表!C31</f>
        <v>0</v>
      </c>
      <c r="D158" s="230">
        <f t="shared" si="4"/>
        <v>0</v>
      </c>
      <c r="E158" s="231" t="str">
        <f t="shared" si="5"/>
        <v>不适用</v>
      </c>
    </row>
    <row r="159" spans="1:5">
      <c r="A159" t="str">
        <f>利润表!A32</f>
        <v xml:space="preserve">          公允价值变动收益（损失以“-”号填列）</v>
      </c>
      <c r="B159">
        <f>利润表!B32</f>
        <v>0</v>
      </c>
      <c r="C159">
        <f>利润表!C32</f>
        <v>0</v>
      </c>
      <c r="D159" s="230">
        <f t="shared" si="4"/>
        <v>0</v>
      </c>
      <c r="E159" s="231" t="str">
        <f t="shared" si="5"/>
        <v>不适用</v>
      </c>
    </row>
    <row r="160" spans="1:5">
      <c r="A160" t="str">
        <f>利润表!A33</f>
        <v xml:space="preserve">        ☆信用减值损失（损失以“-”号填列）</v>
      </c>
      <c r="B160">
        <f>利润表!B33</f>
        <v>0</v>
      </c>
      <c r="C160">
        <f>利润表!C33</f>
        <v>0</v>
      </c>
      <c r="D160" s="230">
        <f t="shared" si="4"/>
        <v>0</v>
      </c>
      <c r="E160" s="231" t="str">
        <f t="shared" si="5"/>
        <v>不适用</v>
      </c>
    </row>
    <row r="161" spans="1:5">
      <c r="A161" t="str">
        <f>利润表!A34</f>
        <v xml:space="preserve">          资产减值损失（损失以“-”号填列）</v>
      </c>
      <c r="B161">
        <f>利润表!B34</f>
        <v>0</v>
      </c>
      <c r="C161">
        <f>利润表!C34</f>
        <v>0</v>
      </c>
      <c r="D161" s="230">
        <f t="shared" si="4"/>
        <v>0</v>
      </c>
      <c r="E161" s="231" t="str">
        <f t="shared" si="5"/>
        <v>不适用</v>
      </c>
    </row>
    <row r="162" spans="1:5">
      <c r="A162" t="str">
        <f>利润表!A35</f>
        <v xml:space="preserve">          资产处置收益（损失以“-”号填列）</v>
      </c>
      <c r="B162">
        <f>利润表!B35</f>
        <v>0</v>
      </c>
      <c r="C162">
        <f>利润表!C35</f>
        <v>0</v>
      </c>
      <c r="D162" s="230">
        <f t="shared" si="4"/>
        <v>0</v>
      </c>
      <c r="E162" s="231" t="str">
        <f t="shared" si="5"/>
        <v>不适用</v>
      </c>
    </row>
    <row r="163" spans="1:5">
      <c r="A163" t="str">
        <f>利润表!A36</f>
        <v>三、营业利润（亏损以“－”号填列）</v>
      </c>
      <c r="B163">
        <f>利润表!B36</f>
        <v>0</v>
      </c>
      <c r="C163">
        <f>利润表!C36</f>
        <v>0</v>
      </c>
      <c r="D163" s="230">
        <f t="shared" si="4"/>
        <v>0</v>
      </c>
      <c r="E163" s="231" t="str">
        <f t="shared" si="5"/>
        <v>不适用</v>
      </c>
    </row>
    <row r="164" spans="1:5">
      <c r="A164" t="str">
        <f>利润表!A37</f>
        <v xml:space="preserve">    加：营业外收入</v>
      </c>
      <c r="B164">
        <f>利润表!B37</f>
        <v>0</v>
      </c>
      <c r="C164">
        <f>利润表!C37</f>
        <v>0</v>
      </c>
      <c r="D164" s="230">
        <f t="shared" si="4"/>
        <v>0</v>
      </c>
      <c r="E164" s="231" t="str">
        <f t="shared" si="5"/>
        <v>不适用</v>
      </c>
    </row>
    <row r="165" spans="1:5">
      <c r="A165" t="str">
        <f>利润表!A38</f>
        <v xml:space="preserve">        其中：政府补助</v>
      </c>
      <c r="B165">
        <f ca="1">利润表!B38</f>
        <v>0</v>
      </c>
      <c r="C165">
        <f ca="1">利润表!C38</f>
        <v>0</v>
      </c>
      <c r="D165" s="230">
        <f t="shared" ca="1" si="4"/>
        <v>0</v>
      </c>
      <c r="E165" s="231" t="str">
        <f t="shared" ca="1" si="5"/>
        <v>不适用</v>
      </c>
    </row>
    <row r="166" spans="1:5">
      <c r="A166" t="str">
        <f>利润表!A39</f>
        <v xml:space="preserve">    减：营业外支出</v>
      </c>
      <c r="B166">
        <f>利润表!B39</f>
        <v>0</v>
      </c>
      <c r="C166">
        <f>利润表!C39</f>
        <v>0</v>
      </c>
      <c r="D166" s="230">
        <f t="shared" si="4"/>
        <v>0</v>
      </c>
      <c r="E166" s="231" t="str">
        <f t="shared" si="5"/>
        <v>不适用</v>
      </c>
    </row>
    <row r="167" spans="1:5">
      <c r="A167" t="str">
        <f>利润表!A40</f>
        <v>四、利润总额（亏损总额以“－”号填列）</v>
      </c>
      <c r="B167">
        <f>利润表!B40</f>
        <v>0</v>
      </c>
      <c r="C167">
        <f>利润表!C40</f>
        <v>0</v>
      </c>
      <c r="D167" s="230">
        <f t="shared" si="4"/>
        <v>0</v>
      </c>
      <c r="E167" s="231" t="str">
        <f t="shared" si="5"/>
        <v>不适用</v>
      </c>
    </row>
    <row r="168" spans="1:5">
      <c r="A168" t="str">
        <f>利润表!A41</f>
        <v xml:space="preserve">    减：所得税费用</v>
      </c>
      <c r="B168">
        <f>利润表!B41</f>
        <v>0</v>
      </c>
      <c r="C168">
        <f>利润表!C41</f>
        <v>0</v>
      </c>
      <c r="D168" s="230">
        <f t="shared" si="4"/>
        <v>0</v>
      </c>
      <c r="E168" s="231" t="str">
        <f t="shared" si="5"/>
        <v>不适用</v>
      </c>
    </row>
    <row r="169" spans="1:5">
      <c r="A169" t="str">
        <f>利润表!A42</f>
        <v>五、净利润（净亏损以“－”号填列）</v>
      </c>
      <c r="B169">
        <f>利润表!B42</f>
        <v>0</v>
      </c>
      <c r="C169">
        <f>利润表!C42</f>
        <v>0</v>
      </c>
      <c r="D169" s="230">
        <f t="shared" si="4"/>
        <v>0</v>
      </c>
      <c r="E169" s="231" t="str">
        <f t="shared" si="5"/>
        <v>不适用</v>
      </c>
    </row>
    <row r="170" spans="1:5">
      <c r="A170" t="str">
        <f>利润表!A43</f>
        <v xml:space="preserve">   （一）按所有权归属分类:</v>
      </c>
      <c r="B170">
        <f>利润表!B43</f>
        <v>0</v>
      </c>
      <c r="C170">
        <f>利润表!C43</f>
        <v>0</v>
      </c>
      <c r="D170" s="230">
        <f t="shared" si="4"/>
        <v>0</v>
      </c>
      <c r="E170" s="231" t="str">
        <f t="shared" si="5"/>
        <v>不适用</v>
      </c>
    </row>
    <row r="171" spans="1:5">
      <c r="A171" t="str">
        <f>利润表!A44</f>
        <v xml:space="preserve">         归属于母公司所有者的净利润</v>
      </c>
      <c r="B171">
        <f>利润表!B44</f>
        <v>0</v>
      </c>
      <c r="C171">
        <f>利润表!C44</f>
        <v>0</v>
      </c>
      <c r="D171" s="230">
        <f t="shared" si="4"/>
        <v>0</v>
      </c>
      <c r="E171" s="231" t="str">
        <f t="shared" si="5"/>
        <v>不适用</v>
      </c>
    </row>
    <row r="172" spans="1:5">
      <c r="A172" t="str">
        <f>利润表!A45</f>
        <v xml:space="preserve">        *少数股东损益</v>
      </c>
      <c r="B172">
        <f>利润表!B45</f>
        <v>0</v>
      </c>
      <c r="C172">
        <f>利润表!C45</f>
        <v>0</v>
      </c>
      <c r="D172" s="230">
        <f t="shared" si="4"/>
        <v>0</v>
      </c>
      <c r="E172" s="231" t="str">
        <f t="shared" si="5"/>
        <v>不适用</v>
      </c>
    </row>
    <row r="173" spans="1:5">
      <c r="A173" t="str">
        <f>利润表!A46</f>
        <v xml:space="preserve">   （二）按经营持续性分类:</v>
      </c>
      <c r="B173">
        <f>利润表!B46</f>
        <v>0</v>
      </c>
      <c r="C173">
        <f>利润表!C46</f>
        <v>0</v>
      </c>
      <c r="D173" s="230">
        <f t="shared" si="4"/>
        <v>0</v>
      </c>
      <c r="E173" s="231" t="str">
        <f t="shared" si="5"/>
        <v>不适用</v>
      </c>
    </row>
    <row r="174" spans="1:5">
      <c r="A174" t="str">
        <f>利润表!A47</f>
        <v xml:space="preserve">         持续经营净利润</v>
      </c>
      <c r="B174">
        <f>利润表!B47</f>
        <v>0</v>
      </c>
      <c r="C174">
        <f>利润表!C47</f>
        <v>0</v>
      </c>
      <c r="D174" s="230">
        <f t="shared" si="4"/>
        <v>0</v>
      </c>
      <c r="E174" s="231" t="str">
        <f t="shared" si="5"/>
        <v>不适用</v>
      </c>
    </row>
    <row r="175" spans="1:5">
      <c r="A175" t="str">
        <f>利润表!A48</f>
        <v xml:space="preserve">         终止经营净利润</v>
      </c>
      <c r="B175">
        <f>利润表!B48</f>
        <v>0</v>
      </c>
      <c r="C175">
        <f>利润表!C48</f>
        <v>0</v>
      </c>
      <c r="D175" s="230">
        <f t="shared" si="4"/>
        <v>0</v>
      </c>
      <c r="E175" s="231" t="str">
        <f t="shared" si="5"/>
        <v>不适用</v>
      </c>
    </row>
    <row r="176" spans="1:5">
      <c r="A176" t="str">
        <f>利润表!A49</f>
        <v>六、其他综合收益的税后净额</v>
      </c>
      <c r="B176">
        <f>利润表!B49</f>
        <v>0</v>
      </c>
      <c r="C176">
        <f>利润表!C49</f>
        <v>0</v>
      </c>
      <c r="D176" s="230">
        <f t="shared" si="4"/>
        <v>0</v>
      </c>
      <c r="E176" s="231" t="str">
        <f t="shared" si="5"/>
        <v>不适用</v>
      </c>
    </row>
    <row r="177" spans="1:5">
      <c r="A177" t="str">
        <f>利润表!A50</f>
        <v xml:space="preserve">    归属于母公司所有者的其他综合收益的税后净额</v>
      </c>
      <c r="B177">
        <f>利润表!B50</f>
        <v>0</v>
      </c>
      <c r="C177">
        <f>利润表!C50</f>
        <v>0</v>
      </c>
      <c r="D177" s="230">
        <f t="shared" si="4"/>
        <v>0</v>
      </c>
      <c r="E177" s="231" t="str">
        <f t="shared" si="5"/>
        <v>不适用</v>
      </c>
    </row>
    <row r="178" spans="1:5">
      <c r="A178" t="str">
        <f>利润表!A51</f>
        <v xml:space="preserve">   （一）不能重分类进损益的其他综合收益</v>
      </c>
      <c r="B178">
        <f>利润表!B51</f>
        <v>0</v>
      </c>
      <c r="C178">
        <f>利润表!C51</f>
        <v>0</v>
      </c>
      <c r="D178" s="230">
        <f t="shared" si="4"/>
        <v>0</v>
      </c>
      <c r="E178" s="231" t="str">
        <f t="shared" si="5"/>
        <v>不适用</v>
      </c>
    </row>
    <row r="179" spans="1:5">
      <c r="A179" t="str">
        <f>利润表!A52</f>
        <v xml:space="preserve">          重新计量设定受益计划变动额</v>
      </c>
      <c r="B179">
        <f>利润表!B52</f>
        <v>0</v>
      </c>
      <c r="C179">
        <f>利润表!C52</f>
        <v>0</v>
      </c>
      <c r="D179" s="230">
        <f t="shared" si="4"/>
        <v>0</v>
      </c>
      <c r="E179" s="231" t="str">
        <f t="shared" si="5"/>
        <v>不适用</v>
      </c>
    </row>
    <row r="180" spans="1:5">
      <c r="A180" t="str">
        <f>利润表!A53</f>
        <v xml:space="preserve">          权益法下不能转损益的其他综合收益</v>
      </c>
      <c r="B180">
        <f>利润表!B53</f>
        <v>0</v>
      </c>
      <c r="C180">
        <f>利润表!C53</f>
        <v>0</v>
      </c>
      <c r="D180" s="230">
        <f t="shared" si="4"/>
        <v>0</v>
      </c>
      <c r="E180" s="231" t="str">
        <f t="shared" si="5"/>
        <v>不适用</v>
      </c>
    </row>
    <row r="181" spans="1:5">
      <c r="A181" t="str">
        <f>利润表!A54</f>
        <v xml:space="preserve">        ☆其他权益工具投资公允价值变动</v>
      </c>
      <c r="B181">
        <f>利润表!B54</f>
        <v>0</v>
      </c>
      <c r="C181">
        <f>利润表!C54</f>
        <v>0</v>
      </c>
      <c r="D181" s="230">
        <f t="shared" si="4"/>
        <v>0</v>
      </c>
      <c r="E181" s="231" t="str">
        <f t="shared" si="5"/>
        <v>不适用</v>
      </c>
    </row>
    <row r="182" spans="1:5">
      <c r="A182" t="str">
        <f>利润表!A55</f>
        <v xml:space="preserve">        ☆企业自身信用风险公允价值变动</v>
      </c>
      <c r="B182">
        <f>利润表!B55</f>
        <v>0</v>
      </c>
      <c r="C182">
        <f>利润表!C55</f>
        <v>0</v>
      </c>
      <c r="D182" s="230">
        <f t="shared" si="4"/>
        <v>0</v>
      </c>
      <c r="E182" s="231" t="str">
        <f t="shared" si="5"/>
        <v>不适用</v>
      </c>
    </row>
    <row r="183" spans="1:5">
      <c r="A183" t="str">
        <f>利润表!A56</f>
        <v xml:space="preserve">          其他</v>
      </c>
      <c r="B183">
        <f>利润表!B56</f>
        <v>0</v>
      </c>
      <c r="C183">
        <f>利润表!C56</f>
        <v>0</v>
      </c>
      <c r="D183" s="230">
        <f t="shared" si="4"/>
        <v>0</v>
      </c>
      <c r="E183" s="231" t="str">
        <f t="shared" si="5"/>
        <v>不适用</v>
      </c>
    </row>
    <row r="184" spans="1:5">
      <c r="A184" t="str">
        <f>利润表!A57</f>
        <v xml:space="preserve">   （二）将重分类进损益的其他综合收益</v>
      </c>
      <c r="B184">
        <f>利润表!B57</f>
        <v>0</v>
      </c>
      <c r="C184">
        <f>利润表!C57</f>
        <v>0</v>
      </c>
      <c r="D184" s="230">
        <f t="shared" si="4"/>
        <v>0</v>
      </c>
      <c r="E184" s="231" t="str">
        <f t="shared" si="5"/>
        <v>不适用</v>
      </c>
    </row>
    <row r="185" spans="1:5">
      <c r="A185" t="str">
        <f>利润表!A58</f>
        <v xml:space="preserve">         权益法下可转损益的其他综合收益</v>
      </c>
      <c r="B185">
        <f>利润表!B58</f>
        <v>0</v>
      </c>
      <c r="C185">
        <f>利润表!C58</f>
        <v>0</v>
      </c>
      <c r="D185" s="230">
        <f t="shared" si="4"/>
        <v>0</v>
      </c>
      <c r="E185" s="231" t="str">
        <f t="shared" si="5"/>
        <v>不适用</v>
      </c>
    </row>
    <row r="186" spans="1:5">
      <c r="A186" t="str">
        <f>利润表!A59</f>
        <v xml:space="preserve">        ☆其他债权投资公允价值变动</v>
      </c>
      <c r="B186">
        <f>利润表!B59</f>
        <v>0</v>
      </c>
      <c r="C186">
        <f>利润表!C59</f>
        <v>0</v>
      </c>
      <c r="D186" s="230">
        <f t="shared" si="4"/>
        <v>0</v>
      </c>
      <c r="E186" s="231" t="str">
        <f t="shared" si="5"/>
        <v>不适用</v>
      </c>
    </row>
    <row r="187" spans="1:5">
      <c r="A187" t="str">
        <f>利润表!A60</f>
        <v xml:space="preserve">          可供出售金融资产公允价值变动损益</v>
      </c>
      <c r="B187">
        <f>利润表!B60</f>
        <v>0</v>
      </c>
      <c r="C187">
        <f>利润表!C60</f>
        <v>0</v>
      </c>
      <c r="D187" s="230">
        <f t="shared" si="4"/>
        <v>0</v>
      </c>
      <c r="E187" s="231" t="str">
        <f t="shared" si="5"/>
        <v>不适用</v>
      </c>
    </row>
    <row r="188" spans="1:5">
      <c r="A188" t="str">
        <f>利润表!A61</f>
        <v xml:space="preserve">        ☆金融资产重分类计入其他综合收益的金额</v>
      </c>
      <c r="B188">
        <f>利润表!B61</f>
        <v>0</v>
      </c>
      <c r="C188">
        <f>利润表!C61</f>
        <v>0</v>
      </c>
      <c r="D188" s="230">
        <f t="shared" si="4"/>
        <v>0</v>
      </c>
      <c r="E188" s="231" t="str">
        <f t="shared" si="5"/>
        <v>不适用</v>
      </c>
    </row>
    <row r="189" spans="1:5">
      <c r="A189" t="str">
        <f>利润表!A62</f>
        <v xml:space="preserve">          持有至到期投资重分类为可供出售金融资产损益</v>
      </c>
      <c r="B189">
        <f>利润表!B62</f>
        <v>0</v>
      </c>
      <c r="C189">
        <f>利润表!C62</f>
        <v>0</v>
      </c>
      <c r="D189" s="230">
        <f t="shared" si="4"/>
        <v>0</v>
      </c>
      <c r="E189" s="231" t="str">
        <f t="shared" si="5"/>
        <v>不适用</v>
      </c>
    </row>
    <row r="190" spans="1:5">
      <c r="A190" t="str">
        <f>利润表!A63</f>
        <v xml:space="preserve">        ☆其他债权投资信用减值准备</v>
      </c>
      <c r="B190">
        <f>利润表!B63</f>
        <v>0</v>
      </c>
      <c r="C190">
        <f>利润表!C63</f>
        <v>0</v>
      </c>
      <c r="D190" s="230">
        <f t="shared" si="4"/>
        <v>0</v>
      </c>
      <c r="E190" s="231" t="str">
        <f t="shared" si="5"/>
        <v>不适用</v>
      </c>
    </row>
    <row r="191" spans="1:5">
      <c r="A191" t="str">
        <f>利润表!A64</f>
        <v xml:space="preserve">           现金流量套期储备（现金流量套期损益的有效部分）</v>
      </c>
      <c r="B191">
        <f>利润表!B64</f>
        <v>0</v>
      </c>
      <c r="C191">
        <f>利润表!C64</f>
        <v>0</v>
      </c>
      <c r="D191" s="230">
        <f t="shared" si="4"/>
        <v>0</v>
      </c>
      <c r="E191" s="231" t="str">
        <f t="shared" si="5"/>
        <v>不适用</v>
      </c>
    </row>
    <row r="192" spans="1:5">
      <c r="A192" t="str">
        <f>利润表!A65</f>
        <v xml:space="preserve">          外币财务报表折算差额</v>
      </c>
      <c r="B192">
        <f>利润表!B65</f>
        <v>0</v>
      </c>
      <c r="C192">
        <f>利润表!C65</f>
        <v>0</v>
      </c>
      <c r="D192" s="230">
        <f t="shared" si="4"/>
        <v>0</v>
      </c>
      <c r="E192" s="231" t="str">
        <f t="shared" si="5"/>
        <v>不适用</v>
      </c>
    </row>
    <row r="193" spans="1:5">
      <c r="A193" t="str">
        <f>利润表!A66</f>
        <v xml:space="preserve">          其他</v>
      </c>
      <c r="B193">
        <f>利润表!B66</f>
        <v>0</v>
      </c>
      <c r="C193">
        <f>利润表!C66</f>
        <v>0</v>
      </c>
      <c r="D193" s="230">
        <f t="shared" si="4"/>
        <v>0</v>
      </c>
      <c r="E193" s="231" t="str">
        <f t="shared" si="5"/>
        <v>不适用</v>
      </c>
    </row>
    <row r="194" spans="1:5">
      <c r="A194" t="str">
        <f>利润表!A67</f>
        <v xml:space="preserve">   *归属于少数股东的其他综合收益的税后净额</v>
      </c>
      <c r="B194">
        <f>利润表!B67</f>
        <v>0</v>
      </c>
      <c r="C194">
        <f>利润表!C67</f>
        <v>0</v>
      </c>
      <c r="D194" s="230">
        <f t="shared" si="4"/>
        <v>0</v>
      </c>
      <c r="E194" s="231" t="str">
        <f t="shared" si="5"/>
        <v>不适用</v>
      </c>
    </row>
    <row r="195" spans="1:5">
      <c r="A195" t="str">
        <f>利润表!A68</f>
        <v>七、综合收益总额</v>
      </c>
      <c r="B195">
        <f>利润表!B68</f>
        <v>0</v>
      </c>
      <c r="C195">
        <f>利润表!C68</f>
        <v>0</v>
      </c>
      <c r="D195" s="230">
        <f t="shared" si="4"/>
        <v>0</v>
      </c>
      <c r="E195" s="231" t="str">
        <f t="shared" si="5"/>
        <v>不适用</v>
      </c>
    </row>
    <row r="196" spans="1:5">
      <c r="A196" t="str">
        <f>利润表!A69</f>
        <v xml:space="preserve">    归属于母公司所有者的综合收益总额</v>
      </c>
      <c r="B196">
        <f>利润表!B69</f>
        <v>0</v>
      </c>
      <c r="C196">
        <f>利润表!C69</f>
        <v>0</v>
      </c>
      <c r="D196" s="230">
        <f t="shared" si="4"/>
        <v>0</v>
      </c>
      <c r="E196" s="231" t="str">
        <f t="shared" si="5"/>
        <v>不适用</v>
      </c>
    </row>
    <row r="197" spans="1:5">
      <c r="A197" t="str">
        <f>利润表!A70</f>
        <v xml:space="preserve">   *归属于少数股东的综合收益总额</v>
      </c>
      <c r="B197">
        <f>利润表!B70</f>
        <v>0</v>
      </c>
      <c r="C197">
        <f>利润表!C70</f>
        <v>0</v>
      </c>
      <c r="D197" s="230">
        <f t="shared" si="4"/>
        <v>0</v>
      </c>
      <c r="E197" s="231" t="str">
        <f t="shared" si="5"/>
        <v>不适用</v>
      </c>
    </row>
    <row r="198" spans="1:5">
      <c r="A198" t="str">
        <f>利润表!A71</f>
        <v>八、每股收益：</v>
      </c>
      <c r="B198">
        <f>利润表!B71</f>
        <v>0</v>
      </c>
      <c r="C198">
        <f>利润表!C71</f>
        <v>0</v>
      </c>
      <c r="D198" s="230">
        <f t="shared" si="4"/>
        <v>0</v>
      </c>
      <c r="E198" s="231" t="str">
        <f t="shared" si="5"/>
        <v>不适用</v>
      </c>
    </row>
    <row r="199" spans="1:5">
      <c r="A199" t="str">
        <f>利润表!A72</f>
        <v xml:space="preserve">    基本每股收益</v>
      </c>
      <c r="B199">
        <f>利润表!B72</f>
        <v>0</v>
      </c>
      <c r="C199">
        <f>利润表!C72</f>
        <v>0</v>
      </c>
      <c r="D199" s="230">
        <f t="shared" ref="D199:D211" si="6">B199-C199</f>
        <v>0</v>
      </c>
      <c r="E199" s="231" t="str">
        <f t="shared" ref="E199:E211" si="7">IFERROR(D199/C199,"不适用")</f>
        <v>不适用</v>
      </c>
    </row>
    <row r="200" spans="1:5">
      <c r="A200" t="str">
        <f>利润表!A73</f>
        <v xml:space="preserve">    稀释每股收益</v>
      </c>
      <c r="B200">
        <f>利润表!B73</f>
        <v>0</v>
      </c>
      <c r="C200">
        <f>利润表!C73</f>
        <v>0</v>
      </c>
      <c r="D200" s="230">
        <f t="shared" si="6"/>
        <v>0</v>
      </c>
      <c r="E200" s="231" t="str">
        <f t="shared" si="7"/>
        <v>不适用</v>
      </c>
    </row>
    <row r="201" spans="1:5">
      <c r="A201" t="str">
        <f>现金流量表!A1</f>
        <v>项              目</v>
      </c>
      <c r="B201" s="229"/>
      <c r="C201" s="229"/>
      <c r="D201" s="230">
        <f t="shared" si="6"/>
        <v>0</v>
      </c>
      <c r="E201" s="231" t="str">
        <f t="shared" si="7"/>
        <v>不适用</v>
      </c>
    </row>
    <row r="202" spans="1:5">
      <c r="A202" t="str">
        <f>现金流量表!A2</f>
        <v>一、经营活动产生的现金流量：</v>
      </c>
      <c r="B202">
        <f>现金流量表!B2</f>
        <v>0</v>
      </c>
      <c r="C202">
        <f>现金流量表!C2</f>
        <v>0</v>
      </c>
      <c r="D202" s="230">
        <f t="shared" si="6"/>
        <v>0</v>
      </c>
      <c r="E202" s="231" t="str">
        <f t="shared" si="7"/>
        <v>不适用</v>
      </c>
    </row>
    <row r="203" spans="1:5">
      <c r="A203" t="str">
        <f>现金流量表!A3</f>
        <v xml:space="preserve">    销售商品、提供劳务收到的现金</v>
      </c>
      <c r="B203">
        <f>现金流量表!B3</f>
        <v>0</v>
      </c>
      <c r="C203">
        <f>现金流量表!C3</f>
        <v>0</v>
      </c>
      <c r="D203" s="230">
        <f t="shared" si="6"/>
        <v>0</v>
      </c>
      <c r="E203" s="231" t="str">
        <f t="shared" si="7"/>
        <v>不适用</v>
      </c>
    </row>
    <row r="204" spans="1:5">
      <c r="A204" t="str">
        <f>现金流量表!A4</f>
        <v xml:space="preserve">  △客户存款和同业存放款项净增加额</v>
      </c>
      <c r="B204">
        <f>现金流量表!B4</f>
        <v>0</v>
      </c>
      <c r="C204">
        <f>现金流量表!C4</f>
        <v>0</v>
      </c>
      <c r="D204" s="230">
        <f t="shared" si="6"/>
        <v>0</v>
      </c>
      <c r="E204" s="231" t="str">
        <f t="shared" si="7"/>
        <v>不适用</v>
      </c>
    </row>
    <row r="205" spans="1:5">
      <c r="A205" t="str">
        <f>现金流量表!A5</f>
        <v xml:space="preserve">  △向中央银行借款净增加额</v>
      </c>
      <c r="B205">
        <f>现金流量表!B5</f>
        <v>0</v>
      </c>
      <c r="C205">
        <f>现金流量表!C5</f>
        <v>0</v>
      </c>
      <c r="D205" s="230">
        <f t="shared" si="6"/>
        <v>0</v>
      </c>
      <c r="E205" s="231" t="str">
        <f t="shared" si="7"/>
        <v>不适用</v>
      </c>
    </row>
    <row r="206" spans="1:5">
      <c r="A206" t="str">
        <f>现金流量表!A6</f>
        <v xml:space="preserve">  △向其他金融机构拆入资金净增加额</v>
      </c>
      <c r="B206">
        <f>现金流量表!B6</f>
        <v>0</v>
      </c>
      <c r="C206">
        <f>现金流量表!C6</f>
        <v>0</v>
      </c>
      <c r="D206" s="230">
        <f t="shared" si="6"/>
        <v>0</v>
      </c>
      <c r="E206" s="231" t="str">
        <f t="shared" si="7"/>
        <v>不适用</v>
      </c>
    </row>
    <row r="207" spans="1:5">
      <c r="A207" t="str">
        <f>现金流量表!A7</f>
        <v xml:space="preserve">  △收到原保险合同保费取得的现金</v>
      </c>
      <c r="B207">
        <f>现金流量表!B7</f>
        <v>0</v>
      </c>
      <c r="C207">
        <f>现金流量表!C7</f>
        <v>0</v>
      </c>
      <c r="D207" s="230">
        <f t="shared" si="6"/>
        <v>0</v>
      </c>
      <c r="E207" s="231" t="str">
        <f t="shared" si="7"/>
        <v>不适用</v>
      </c>
    </row>
    <row r="208" spans="1:5">
      <c r="A208" t="str">
        <f>现金流量表!A8</f>
        <v xml:space="preserve">  △收到再保业务现金净额</v>
      </c>
      <c r="B208">
        <f>现金流量表!B8</f>
        <v>0</v>
      </c>
      <c r="C208">
        <f>现金流量表!C8</f>
        <v>0</v>
      </c>
      <c r="D208" s="230">
        <f t="shared" si="6"/>
        <v>0</v>
      </c>
      <c r="E208" s="231" t="str">
        <f t="shared" si="7"/>
        <v>不适用</v>
      </c>
    </row>
    <row r="209" spans="1:5">
      <c r="A209" t="str">
        <f>现金流量表!A9</f>
        <v xml:space="preserve">  △保户储金及投资款净增加额</v>
      </c>
      <c r="B209">
        <f>现金流量表!B9</f>
        <v>0</v>
      </c>
      <c r="C209">
        <f>现金流量表!C9</f>
        <v>0</v>
      </c>
      <c r="D209" s="230">
        <f t="shared" si="6"/>
        <v>0</v>
      </c>
      <c r="E209" s="231" t="str">
        <f t="shared" si="7"/>
        <v>不适用</v>
      </c>
    </row>
    <row r="210" spans="1:5">
      <c r="A210" t="str">
        <f>现金流量表!A10</f>
        <v xml:space="preserve">  △处置以公允价值计量且其变动计入当期损益的金融资产净增加额</v>
      </c>
      <c r="B210">
        <f>现金流量表!B10</f>
        <v>0</v>
      </c>
      <c r="C210">
        <f>现金流量表!C10</f>
        <v>0</v>
      </c>
      <c r="D210" s="230">
        <f t="shared" si="6"/>
        <v>0</v>
      </c>
      <c r="E210" s="231" t="str">
        <f t="shared" si="7"/>
        <v>不适用</v>
      </c>
    </row>
    <row r="211" spans="1:5">
      <c r="A211" t="str">
        <f>现金流量表!A11</f>
        <v xml:space="preserve">  △收取利息、手续费及佣金的现金</v>
      </c>
      <c r="B211">
        <f>现金流量表!B11</f>
        <v>0</v>
      </c>
      <c r="C211">
        <f>现金流量表!C11</f>
        <v>0</v>
      </c>
      <c r="D211" s="230">
        <f t="shared" si="6"/>
        <v>0</v>
      </c>
      <c r="E211" s="231" t="str">
        <f t="shared" si="7"/>
        <v>不适用</v>
      </c>
    </row>
    <row r="212" spans="1:5">
      <c r="A212" t="str">
        <f>现金流量表!A12</f>
        <v xml:space="preserve">  △拆入资金净增加额</v>
      </c>
      <c r="B212">
        <f>现金流量表!B12</f>
        <v>0</v>
      </c>
      <c r="C212">
        <f>现金流量表!C12</f>
        <v>0</v>
      </c>
      <c r="D212" s="230">
        <f t="shared" ref="D212:D260" si="8">B212-C212</f>
        <v>0</v>
      </c>
      <c r="E212" s="231" t="str">
        <f t="shared" ref="E212:E260" si="9">IFERROR(D212/C212,"不适用")</f>
        <v>不适用</v>
      </c>
    </row>
    <row r="213" spans="1:5">
      <c r="A213" t="str">
        <f>现金流量表!A13</f>
        <v xml:space="preserve">  △回购业务资金净增加额</v>
      </c>
      <c r="B213">
        <f>现金流量表!B13</f>
        <v>0</v>
      </c>
      <c r="C213">
        <f>现金流量表!C13</f>
        <v>0</v>
      </c>
      <c r="D213" s="230">
        <f t="shared" si="8"/>
        <v>0</v>
      </c>
      <c r="E213" s="231" t="str">
        <f t="shared" si="9"/>
        <v>不适用</v>
      </c>
    </row>
    <row r="214" spans="1:5">
      <c r="A214" t="str">
        <f>现金流量表!A14</f>
        <v xml:space="preserve">  △代理买卖证券收到的现金净额</v>
      </c>
      <c r="B214">
        <f>现金流量表!B14</f>
        <v>0</v>
      </c>
      <c r="C214">
        <f>现金流量表!C14</f>
        <v>0</v>
      </c>
      <c r="D214" s="230">
        <f t="shared" si="8"/>
        <v>0</v>
      </c>
      <c r="E214" s="231" t="str">
        <f t="shared" si="9"/>
        <v>不适用</v>
      </c>
    </row>
    <row r="215" spans="1:5">
      <c r="A215" t="str">
        <f>现金流量表!A15</f>
        <v xml:space="preserve">    收到的税费返还</v>
      </c>
      <c r="B215">
        <f>现金流量表!B15</f>
        <v>0</v>
      </c>
      <c r="C215">
        <f>现金流量表!C15</f>
        <v>0</v>
      </c>
      <c r="D215" s="230">
        <f t="shared" si="8"/>
        <v>0</v>
      </c>
      <c r="E215" s="231" t="str">
        <f t="shared" si="9"/>
        <v>不适用</v>
      </c>
    </row>
    <row r="216" spans="1:5">
      <c r="A216" t="str">
        <f>现金流量表!A16</f>
        <v xml:space="preserve">    收到其他与经营活动有关的现金</v>
      </c>
      <c r="B216">
        <f>现金流量表!B16</f>
        <v>0</v>
      </c>
      <c r="C216">
        <f>现金流量表!C16</f>
        <v>0</v>
      </c>
      <c r="D216" s="230">
        <f t="shared" si="8"/>
        <v>0</v>
      </c>
      <c r="E216" s="231" t="str">
        <f t="shared" si="9"/>
        <v>不适用</v>
      </c>
    </row>
    <row r="217" spans="1:5">
      <c r="A217" t="str">
        <f>现金流量表!A17</f>
        <v>经营活动现金流入小计</v>
      </c>
      <c r="B217">
        <f>现金流量表!B17</f>
        <v>0</v>
      </c>
      <c r="C217">
        <f>现金流量表!C17</f>
        <v>0</v>
      </c>
      <c r="D217" s="230">
        <f t="shared" si="8"/>
        <v>0</v>
      </c>
      <c r="E217" s="231" t="str">
        <f t="shared" si="9"/>
        <v>不适用</v>
      </c>
    </row>
    <row r="218" spans="1:5">
      <c r="A218" t="str">
        <f>现金流量表!A18</f>
        <v xml:space="preserve">    购买商品、接受劳务支付的现金</v>
      </c>
      <c r="B218">
        <f>现金流量表!B18</f>
        <v>0</v>
      </c>
      <c r="C218">
        <f>现金流量表!C18</f>
        <v>0</v>
      </c>
      <c r="D218" s="230">
        <f t="shared" si="8"/>
        <v>0</v>
      </c>
      <c r="E218" s="231" t="str">
        <f t="shared" si="9"/>
        <v>不适用</v>
      </c>
    </row>
    <row r="219" spans="1:5">
      <c r="A219" t="str">
        <f>现金流量表!A19</f>
        <v xml:space="preserve">  △客户贷款及垫款净增加额</v>
      </c>
      <c r="B219">
        <f>现金流量表!B19</f>
        <v>0</v>
      </c>
      <c r="C219">
        <f>现金流量表!C19</f>
        <v>0</v>
      </c>
      <c r="D219" s="230">
        <f t="shared" si="8"/>
        <v>0</v>
      </c>
      <c r="E219" s="231" t="str">
        <f t="shared" si="9"/>
        <v>不适用</v>
      </c>
    </row>
    <row r="220" spans="1:5">
      <c r="A220" t="str">
        <f>现金流量表!A20</f>
        <v xml:space="preserve">  △存放中央银行和同业款项净增加额</v>
      </c>
      <c r="B220">
        <f>现金流量表!B20</f>
        <v>0</v>
      </c>
      <c r="C220">
        <f>现金流量表!C20</f>
        <v>0</v>
      </c>
      <c r="D220" s="230">
        <f t="shared" si="8"/>
        <v>0</v>
      </c>
      <c r="E220" s="231" t="str">
        <f t="shared" si="9"/>
        <v>不适用</v>
      </c>
    </row>
    <row r="221" spans="1:5">
      <c r="A221" t="str">
        <f>现金流量表!A21</f>
        <v xml:space="preserve">  △支付原保险合同赔付款项的现金</v>
      </c>
      <c r="B221">
        <f>现金流量表!B21</f>
        <v>0</v>
      </c>
      <c r="C221">
        <f>现金流量表!C21</f>
        <v>0</v>
      </c>
      <c r="D221" s="230">
        <f t="shared" si="8"/>
        <v>0</v>
      </c>
      <c r="E221" s="231" t="str">
        <f t="shared" si="9"/>
        <v>不适用</v>
      </c>
    </row>
    <row r="222" spans="1:5">
      <c r="A222" t="str">
        <f>现金流量表!A22</f>
        <v xml:space="preserve">  △拆出资金净增加额</v>
      </c>
      <c r="B222">
        <f>现金流量表!B22</f>
        <v>0</v>
      </c>
      <c r="C222">
        <f>现金流量表!C22</f>
        <v>0</v>
      </c>
      <c r="D222" s="230">
        <f t="shared" si="8"/>
        <v>0</v>
      </c>
      <c r="E222" s="231" t="str">
        <f t="shared" si="9"/>
        <v>不适用</v>
      </c>
    </row>
    <row r="223" spans="1:5">
      <c r="A223" t="str">
        <f>现金流量表!A23</f>
        <v xml:space="preserve">  △支付利息、手续费及佣金的现金</v>
      </c>
      <c r="B223">
        <f>现金流量表!B23</f>
        <v>0</v>
      </c>
      <c r="C223">
        <f>现金流量表!C23</f>
        <v>0</v>
      </c>
      <c r="D223" s="230">
        <f t="shared" si="8"/>
        <v>0</v>
      </c>
      <c r="E223" s="231" t="str">
        <f t="shared" si="9"/>
        <v>不适用</v>
      </c>
    </row>
    <row r="224" spans="1:5">
      <c r="A224" t="str">
        <f>现金流量表!A24</f>
        <v xml:space="preserve">  △支付保单红利的现金</v>
      </c>
      <c r="B224">
        <f>现金流量表!B24</f>
        <v>0</v>
      </c>
      <c r="C224">
        <f>现金流量表!C24</f>
        <v>0</v>
      </c>
      <c r="D224" s="230">
        <f t="shared" si="8"/>
        <v>0</v>
      </c>
      <c r="E224" s="231" t="str">
        <f t="shared" si="9"/>
        <v>不适用</v>
      </c>
    </row>
    <row r="225" spans="1:5">
      <c r="A225" t="str">
        <f>现金流量表!A25</f>
        <v xml:space="preserve">    支付给职工及为职工支付的现金</v>
      </c>
      <c r="B225">
        <f>现金流量表!B25</f>
        <v>0</v>
      </c>
      <c r="C225">
        <f>现金流量表!C25</f>
        <v>0</v>
      </c>
      <c r="D225" s="230">
        <f t="shared" si="8"/>
        <v>0</v>
      </c>
      <c r="E225" s="231" t="str">
        <f t="shared" si="9"/>
        <v>不适用</v>
      </c>
    </row>
    <row r="226" spans="1:5">
      <c r="A226" t="str">
        <f>现金流量表!A26</f>
        <v xml:space="preserve">    支付的各项税费</v>
      </c>
      <c r="B226">
        <f>现金流量表!B26</f>
        <v>0</v>
      </c>
      <c r="C226">
        <f>现金流量表!C26</f>
        <v>0</v>
      </c>
      <c r="D226" s="230">
        <f t="shared" si="8"/>
        <v>0</v>
      </c>
      <c r="E226" s="231" t="str">
        <f t="shared" si="9"/>
        <v>不适用</v>
      </c>
    </row>
    <row r="227" spans="1:5">
      <c r="A227" t="str">
        <f>现金流量表!A27</f>
        <v xml:space="preserve">    支付其他与经营活动有关的现金</v>
      </c>
      <c r="B227">
        <f>现金流量表!B27</f>
        <v>0</v>
      </c>
      <c r="C227">
        <f>现金流量表!C27</f>
        <v>0</v>
      </c>
      <c r="D227" s="230">
        <f t="shared" si="8"/>
        <v>0</v>
      </c>
      <c r="E227" s="231" t="str">
        <f t="shared" si="9"/>
        <v>不适用</v>
      </c>
    </row>
    <row r="228" spans="1:5">
      <c r="A228" t="str">
        <f>现金流量表!A28</f>
        <v>经营活动现金流出小计</v>
      </c>
      <c r="B228">
        <f>现金流量表!B28</f>
        <v>0</v>
      </c>
      <c r="C228">
        <f>现金流量表!C28</f>
        <v>0</v>
      </c>
      <c r="D228" s="230">
        <f t="shared" si="8"/>
        <v>0</v>
      </c>
      <c r="E228" s="231" t="str">
        <f t="shared" si="9"/>
        <v>不适用</v>
      </c>
    </row>
    <row r="229" spans="1:5">
      <c r="A229" t="str">
        <f>现金流量表!A29</f>
        <v>经营活动产生的现金流量净额</v>
      </c>
      <c r="B229">
        <f>现金流量表!B29</f>
        <v>0</v>
      </c>
      <c r="C229">
        <f>现金流量表!C29</f>
        <v>0</v>
      </c>
      <c r="D229" s="230">
        <f t="shared" si="8"/>
        <v>0</v>
      </c>
      <c r="E229" s="231" t="str">
        <f t="shared" si="9"/>
        <v>不适用</v>
      </c>
    </row>
    <row r="230" spans="1:5">
      <c r="A230" t="str">
        <f>现金流量表!A30</f>
        <v>二、投资活动产生的现金流量：</v>
      </c>
      <c r="B230">
        <f>现金流量表!B30</f>
        <v>0</v>
      </c>
      <c r="C230">
        <f>现金流量表!C30</f>
        <v>0</v>
      </c>
      <c r="D230" s="230">
        <f t="shared" si="8"/>
        <v>0</v>
      </c>
      <c r="E230" s="231" t="str">
        <f t="shared" si="9"/>
        <v>不适用</v>
      </c>
    </row>
    <row r="231" spans="1:5">
      <c r="A231" t="str">
        <f>现金流量表!A31</f>
        <v xml:space="preserve">    收回投资收到的现金</v>
      </c>
      <c r="B231">
        <f>现金流量表!B31</f>
        <v>0</v>
      </c>
      <c r="C231">
        <f>现金流量表!C31</f>
        <v>0</v>
      </c>
      <c r="D231" s="230">
        <f t="shared" si="8"/>
        <v>0</v>
      </c>
      <c r="E231" s="231" t="str">
        <f t="shared" si="9"/>
        <v>不适用</v>
      </c>
    </row>
    <row r="232" spans="1:5">
      <c r="A232" t="str">
        <f>现金流量表!A32</f>
        <v xml:space="preserve">    取得投资收益收到的现金</v>
      </c>
      <c r="B232">
        <f>现金流量表!B32</f>
        <v>0</v>
      </c>
      <c r="C232">
        <f>现金流量表!C32</f>
        <v>0</v>
      </c>
      <c r="D232" s="230">
        <f t="shared" si="8"/>
        <v>0</v>
      </c>
      <c r="E232" s="231" t="str">
        <f t="shared" si="9"/>
        <v>不适用</v>
      </c>
    </row>
    <row r="233" spans="1:5">
      <c r="A233" t="str">
        <f>现金流量表!A33</f>
        <v xml:space="preserve">    处置固定资产、无形资产和其他长期资产收回的现金净额</v>
      </c>
      <c r="B233">
        <f>现金流量表!B33</f>
        <v>0</v>
      </c>
      <c r="C233">
        <f>现金流量表!C33</f>
        <v>0</v>
      </c>
      <c r="D233" s="230">
        <f t="shared" si="8"/>
        <v>0</v>
      </c>
      <c r="E233" s="231" t="str">
        <f t="shared" si="9"/>
        <v>不适用</v>
      </c>
    </row>
    <row r="234" spans="1:5">
      <c r="A234" t="str">
        <f>现金流量表!A34</f>
        <v xml:space="preserve">    处置子公司及其他营业单位收到的现金净额</v>
      </c>
      <c r="B234">
        <f>现金流量表!B34</f>
        <v>0</v>
      </c>
      <c r="C234">
        <f>现金流量表!C34</f>
        <v>0</v>
      </c>
      <c r="D234" s="230">
        <f t="shared" si="8"/>
        <v>0</v>
      </c>
      <c r="E234" s="231" t="str">
        <f t="shared" si="9"/>
        <v>不适用</v>
      </c>
    </row>
    <row r="235" spans="1:5">
      <c r="A235" t="str">
        <f>现金流量表!A35</f>
        <v xml:space="preserve">    收到其他与投资活动有关的现金</v>
      </c>
      <c r="B235">
        <f>现金流量表!B35</f>
        <v>0</v>
      </c>
      <c r="C235">
        <f>现金流量表!C35</f>
        <v>0</v>
      </c>
      <c r="D235" s="230">
        <f t="shared" si="8"/>
        <v>0</v>
      </c>
      <c r="E235" s="231" t="str">
        <f t="shared" si="9"/>
        <v>不适用</v>
      </c>
    </row>
    <row r="236" spans="1:5">
      <c r="A236" t="str">
        <f>现金流量表!A36</f>
        <v>投资活动现金流入小计</v>
      </c>
      <c r="B236">
        <f>现金流量表!B36</f>
        <v>0</v>
      </c>
      <c r="C236">
        <f>现金流量表!C36</f>
        <v>0</v>
      </c>
      <c r="D236" s="230">
        <f t="shared" si="8"/>
        <v>0</v>
      </c>
      <c r="E236" s="231" t="str">
        <f t="shared" si="9"/>
        <v>不适用</v>
      </c>
    </row>
    <row r="237" spans="1:5">
      <c r="A237" t="str">
        <f>现金流量表!A37</f>
        <v xml:space="preserve">    购建固定资产、无形资产和其他长期资产支付的现金</v>
      </c>
      <c r="B237">
        <f>现金流量表!B37</f>
        <v>0</v>
      </c>
      <c r="C237">
        <f>现金流量表!C37</f>
        <v>0</v>
      </c>
      <c r="D237" s="230">
        <f t="shared" si="8"/>
        <v>0</v>
      </c>
      <c r="E237" s="231" t="str">
        <f t="shared" si="9"/>
        <v>不适用</v>
      </c>
    </row>
    <row r="238" spans="1:5">
      <c r="A238" t="str">
        <f>现金流量表!A38</f>
        <v xml:space="preserve">    投资支付的现金</v>
      </c>
      <c r="B238">
        <f>现金流量表!B38</f>
        <v>0</v>
      </c>
      <c r="C238">
        <f>现金流量表!C38</f>
        <v>0</v>
      </c>
      <c r="D238" s="230">
        <f t="shared" si="8"/>
        <v>0</v>
      </c>
      <c r="E238" s="231" t="str">
        <f t="shared" si="9"/>
        <v>不适用</v>
      </c>
    </row>
    <row r="239" spans="1:5">
      <c r="A239" t="str">
        <f>现金流量表!A39</f>
        <v xml:space="preserve">  △质押贷款净增加额</v>
      </c>
      <c r="B239">
        <f>现金流量表!B39</f>
        <v>0</v>
      </c>
      <c r="C239">
        <f>现金流量表!C39</f>
        <v>0</v>
      </c>
      <c r="D239" s="230">
        <f t="shared" si="8"/>
        <v>0</v>
      </c>
      <c r="E239" s="231" t="str">
        <f t="shared" si="9"/>
        <v>不适用</v>
      </c>
    </row>
    <row r="240" spans="1:5">
      <c r="A240" t="str">
        <f>现金流量表!A40</f>
        <v xml:space="preserve">    取得子公司及其他营业单位支付的现金净额</v>
      </c>
      <c r="B240">
        <f>现金流量表!B40</f>
        <v>0</v>
      </c>
      <c r="C240">
        <f>现金流量表!C40</f>
        <v>0</v>
      </c>
      <c r="D240" s="230">
        <f t="shared" si="8"/>
        <v>0</v>
      </c>
      <c r="E240" s="231" t="str">
        <f t="shared" si="9"/>
        <v>不适用</v>
      </c>
    </row>
    <row r="241" spans="1:5">
      <c r="A241" t="str">
        <f>现金流量表!A41</f>
        <v xml:space="preserve">    支付其他与投资活动有关的现金</v>
      </c>
      <c r="B241">
        <f>现金流量表!B41</f>
        <v>0</v>
      </c>
      <c r="C241">
        <f>现金流量表!C41</f>
        <v>0</v>
      </c>
      <c r="D241" s="230">
        <f t="shared" si="8"/>
        <v>0</v>
      </c>
      <c r="E241" s="231" t="str">
        <f t="shared" si="9"/>
        <v>不适用</v>
      </c>
    </row>
    <row r="242" spans="1:5">
      <c r="A242" t="str">
        <f>现金流量表!A42</f>
        <v>投资活动现金流出小计</v>
      </c>
      <c r="B242">
        <f>现金流量表!B42</f>
        <v>0</v>
      </c>
      <c r="C242">
        <f>现金流量表!C42</f>
        <v>0</v>
      </c>
      <c r="D242" s="230">
        <f t="shared" si="8"/>
        <v>0</v>
      </c>
      <c r="E242" s="231" t="str">
        <f t="shared" si="9"/>
        <v>不适用</v>
      </c>
    </row>
    <row r="243" spans="1:5">
      <c r="A243" t="str">
        <f>现金流量表!A43</f>
        <v>投资活动产生的现金流量净额</v>
      </c>
      <c r="B243">
        <f>现金流量表!B43</f>
        <v>0</v>
      </c>
      <c r="C243">
        <f>现金流量表!C43</f>
        <v>0</v>
      </c>
      <c r="D243" s="230">
        <f t="shared" si="8"/>
        <v>0</v>
      </c>
      <c r="E243" s="231" t="str">
        <f t="shared" si="9"/>
        <v>不适用</v>
      </c>
    </row>
    <row r="244" spans="1:5">
      <c r="A244" t="str">
        <f>现金流量表!A44</f>
        <v>三、筹资活动产生的现金流量：</v>
      </c>
      <c r="B244">
        <f>现金流量表!B44</f>
        <v>0</v>
      </c>
      <c r="C244">
        <f>现金流量表!C44</f>
        <v>0</v>
      </c>
      <c r="D244" s="230">
        <f t="shared" si="8"/>
        <v>0</v>
      </c>
      <c r="E244" s="231" t="str">
        <f t="shared" si="9"/>
        <v>不适用</v>
      </c>
    </row>
    <row r="245" spans="1:5">
      <c r="A245" t="str">
        <f>现金流量表!A45</f>
        <v xml:space="preserve">    吸收投资收到的现金</v>
      </c>
      <c r="B245">
        <f>现金流量表!B45</f>
        <v>0</v>
      </c>
      <c r="C245">
        <f>现金流量表!C45</f>
        <v>0</v>
      </c>
      <c r="D245" s="230">
        <f t="shared" si="8"/>
        <v>0</v>
      </c>
      <c r="E245" s="231" t="str">
        <f t="shared" si="9"/>
        <v>不适用</v>
      </c>
    </row>
    <row r="246" spans="1:5">
      <c r="A246" t="str">
        <f>现金流量表!A46</f>
        <v xml:space="preserve">        其中：子公司吸收少数股东投资收到的现金</v>
      </c>
      <c r="B246">
        <f>现金流量表!B46</f>
        <v>0</v>
      </c>
      <c r="C246">
        <f>现金流量表!C46</f>
        <v>0</v>
      </c>
      <c r="D246" s="230">
        <f t="shared" si="8"/>
        <v>0</v>
      </c>
      <c r="E246" s="231" t="str">
        <f t="shared" si="9"/>
        <v>不适用</v>
      </c>
    </row>
    <row r="247" spans="1:5">
      <c r="A247" t="str">
        <f>现金流量表!A47</f>
        <v xml:space="preserve">    取得借款收到的现金</v>
      </c>
      <c r="B247">
        <f>现金流量表!B47</f>
        <v>0</v>
      </c>
      <c r="C247">
        <f>现金流量表!C47</f>
        <v>0</v>
      </c>
      <c r="D247" s="230">
        <f t="shared" si="8"/>
        <v>0</v>
      </c>
      <c r="E247" s="231" t="str">
        <f t="shared" si="9"/>
        <v>不适用</v>
      </c>
    </row>
    <row r="248" spans="1:5">
      <c r="A248" t="str">
        <f>现金流量表!A48</f>
        <v xml:space="preserve">  △发行债券收到的现金</v>
      </c>
      <c r="B248">
        <f>现金流量表!B48</f>
        <v>0</v>
      </c>
      <c r="C248">
        <f>现金流量表!C48</f>
        <v>0</v>
      </c>
      <c r="D248" s="230">
        <f t="shared" si="8"/>
        <v>0</v>
      </c>
      <c r="E248" s="231" t="str">
        <f t="shared" si="9"/>
        <v>不适用</v>
      </c>
    </row>
    <row r="249" spans="1:5">
      <c r="A249" t="str">
        <f>现金流量表!A49</f>
        <v xml:space="preserve">    收到其他与筹资活动有关的现金</v>
      </c>
      <c r="B249">
        <f>现金流量表!B49</f>
        <v>0</v>
      </c>
      <c r="C249">
        <f>现金流量表!C49</f>
        <v>0</v>
      </c>
      <c r="D249" s="230">
        <f t="shared" si="8"/>
        <v>0</v>
      </c>
      <c r="E249" s="231" t="str">
        <f t="shared" si="9"/>
        <v>不适用</v>
      </c>
    </row>
    <row r="250" spans="1:5">
      <c r="A250" t="str">
        <f>现金流量表!A50</f>
        <v>筹资活动现金流入小计</v>
      </c>
      <c r="B250">
        <f>现金流量表!B50</f>
        <v>0</v>
      </c>
      <c r="C250">
        <f>现金流量表!C50</f>
        <v>0</v>
      </c>
      <c r="D250" s="230">
        <f t="shared" si="8"/>
        <v>0</v>
      </c>
      <c r="E250" s="231" t="str">
        <f t="shared" si="9"/>
        <v>不适用</v>
      </c>
    </row>
    <row r="251" spans="1:5">
      <c r="A251" t="str">
        <f>现金流量表!A51</f>
        <v xml:space="preserve">    偿还债务支付的现金</v>
      </c>
      <c r="B251">
        <f>现金流量表!B51</f>
        <v>0</v>
      </c>
      <c r="C251">
        <f>现金流量表!C51</f>
        <v>0</v>
      </c>
      <c r="D251" s="230">
        <f t="shared" si="8"/>
        <v>0</v>
      </c>
      <c r="E251" s="231" t="str">
        <f t="shared" si="9"/>
        <v>不适用</v>
      </c>
    </row>
    <row r="252" spans="1:5">
      <c r="A252" t="str">
        <f>现金流量表!A52</f>
        <v xml:space="preserve">    分配股利、利润或偿付利息支付的现金</v>
      </c>
      <c r="B252">
        <f>现金流量表!B52</f>
        <v>0</v>
      </c>
      <c r="C252">
        <f>现金流量表!C52</f>
        <v>0</v>
      </c>
      <c r="D252" s="230">
        <f t="shared" si="8"/>
        <v>0</v>
      </c>
      <c r="E252" s="231" t="str">
        <f t="shared" si="9"/>
        <v>不适用</v>
      </c>
    </row>
    <row r="253" spans="1:5">
      <c r="A253" t="str">
        <f>现金流量表!A53</f>
        <v xml:space="preserve">        其中：子公司支付给少数股东的股利、利润</v>
      </c>
      <c r="B253">
        <f>现金流量表!B53</f>
        <v>0</v>
      </c>
      <c r="C253">
        <f>现金流量表!C53</f>
        <v>0</v>
      </c>
      <c r="D253" s="230">
        <f t="shared" si="8"/>
        <v>0</v>
      </c>
      <c r="E253" s="231" t="str">
        <f t="shared" si="9"/>
        <v>不适用</v>
      </c>
    </row>
    <row r="254" spans="1:5">
      <c r="A254" t="str">
        <f>现金流量表!A54</f>
        <v xml:space="preserve">    支付其他与筹资活动有关的现金</v>
      </c>
      <c r="B254">
        <f>现金流量表!B54</f>
        <v>0</v>
      </c>
      <c r="C254">
        <f>现金流量表!C54</f>
        <v>0</v>
      </c>
      <c r="D254" s="230">
        <f t="shared" si="8"/>
        <v>0</v>
      </c>
      <c r="E254" s="231" t="str">
        <f t="shared" si="9"/>
        <v>不适用</v>
      </c>
    </row>
    <row r="255" spans="1:5">
      <c r="A255" t="str">
        <f>现金流量表!A55</f>
        <v>筹资活动现金流出小计</v>
      </c>
      <c r="B255">
        <f>现金流量表!B55</f>
        <v>0</v>
      </c>
      <c r="C255">
        <f>现金流量表!C55</f>
        <v>0</v>
      </c>
      <c r="D255" s="230">
        <f t="shared" si="8"/>
        <v>0</v>
      </c>
      <c r="E255" s="231" t="str">
        <f t="shared" si="9"/>
        <v>不适用</v>
      </c>
    </row>
    <row r="256" spans="1:5">
      <c r="A256" t="str">
        <f>现金流量表!A56</f>
        <v>筹资活动产生的现金流量净额</v>
      </c>
      <c r="B256">
        <f>现金流量表!B56</f>
        <v>0</v>
      </c>
      <c r="C256">
        <f>现金流量表!C56</f>
        <v>0</v>
      </c>
      <c r="D256" s="230">
        <f t="shared" si="8"/>
        <v>0</v>
      </c>
      <c r="E256" s="231" t="str">
        <f t="shared" si="9"/>
        <v>不适用</v>
      </c>
    </row>
    <row r="257" spans="1:5">
      <c r="A257" t="str">
        <f>现金流量表!A57</f>
        <v>四、汇率变动对现金及现金等价物的影响</v>
      </c>
      <c r="B257">
        <f>现金流量表!B57</f>
        <v>0</v>
      </c>
      <c r="C257">
        <f>现金流量表!C57</f>
        <v>0</v>
      </c>
      <c r="D257" s="230">
        <f t="shared" si="8"/>
        <v>0</v>
      </c>
      <c r="E257" s="231" t="str">
        <f t="shared" si="9"/>
        <v>不适用</v>
      </c>
    </row>
    <row r="258" spans="1:5">
      <c r="A258" t="str">
        <f>现金流量表!A58</f>
        <v>五、现金及现金等价物净增加额</v>
      </c>
      <c r="B258">
        <f>现金流量表!B58</f>
        <v>0</v>
      </c>
      <c r="C258">
        <f>现金流量表!C58</f>
        <v>0</v>
      </c>
      <c r="D258" s="230">
        <f t="shared" si="8"/>
        <v>0</v>
      </c>
      <c r="E258" s="231" t="str">
        <f t="shared" si="9"/>
        <v>不适用</v>
      </c>
    </row>
    <row r="259" spans="1:5">
      <c r="A259" t="str">
        <f>现金流量表!A59</f>
        <v xml:space="preserve">    加：期初现金及现金等价物余额</v>
      </c>
      <c r="B259">
        <f>现金流量表!B59</f>
        <v>0</v>
      </c>
      <c r="C259">
        <f>现金流量表!C59</f>
        <v>0</v>
      </c>
      <c r="D259" s="230">
        <f t="shared" si="8"/>
        <v>0</v>
      </c>
      <c r="E259" s="231" t="str">
        <f t="shared" si="9"/>
        <v>不适用</v>
      </c>
    </row>
    <row r="260" spans="1:5">
      <c r="A260" t="str">
        <f>现金流量表!A60</f>
        <v>六、期末现金及现金等价物余额</v>
      </c>
      <c r="B260">
        <f>现金流量表!B60</f>
        <v>0</v>
      </c>
      <c r="C260">
        <f>现金流量表!C60</f>
        <v>0</v>
      </c>
      <c r="D260" s="230">
        <f t="shared" si="8"/>
        <v>0</v>
      </c>
      <c r="E260" s="231" t="str">
        <f t="shared" si="9"/>
        <v>不适用</v>
      </c>
    </row>
  </sheetData>
  <mergeCells count="1">
    <mergeCell ref="A1:F1"/>
  </mergeCells>
  <phoneticPr fontId="1"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9065-1AA5-4D23-B2EC-5AC205DFBA41}">
  <sheetPr codeName="Sheet83">
    <tabColor rgb="FFFFC000"/>
  </sheetPr>
  <dimension ref="A1:G4"/>
  <sheetViews>
    <sheetView workbookViewId="0">
      <selection activeCell="G1" sqref="A1:G4"/>
    </sheetView>
  </sheetViews>
  <sheetFormatPr defaultRowHeight="13.8"/>
  <cols>
    <col min="1" max="1" width="20.44140625" bestFit="1" customWidth="1"/>
    <col min="3" max="3" width="7" customWidth="1"/>
    <col min="4" max="5" width="11.6640625" bestFit="1" customWidth="1"/>
  </cols>
  <sheetData>
    <row r="1" spans="1:7">
      <c r="A1" s="633" t="s">
        <v>1977</v>
      </c>
      <c r="B1" s="633" t="s">
        <v>246</v>
      </c>
      <c r="C1" s="633" t="s">
        <v>4803</v>
      </c>
      <c r="D1" s="633" t="s">
        <v>4804</v>
      </c>
      <c r="E1" s="633" t="s">
        <v>4805</v>
      </c>
      <c r="F1" s="633" t="s">
        <v>4806</v>
      </c>
      <c r="G1" s="633" t="s">
        <v>245</v>
      </c>
    </row>
    <row r="2" spans="1:7">
      <c r="A2" t="s">
        <v>4801</v>
      </c>
      <c r="B2" s="259">
        <f>SUMIF(其他应收款明细表!$C:$C,"单项计提坏账准备",其他应收款明细表!O:O)</f>
        <v>0</v>
      </c>
      <c r="C2" s="259">
        <f>SUMIF(其他应收款明细表!$C:$C,"单项计提坏账准备",其他应收款明细表!P:P)</f>
        <v>0</v>
      </c>
      <c r="D2" s="259">
        <f>SUMIF(其他应收款明细表!$C:$C,"单项计提坏账准备",其他应收款明细表!Q:Q)</f>
        <v>0</v>
      </c>
      <c r="E2" s="259">
        <f>SUMIF(其他应收款明细表!$C:$C,"单项计提坏账准备",其他应收款明细表!R:R)</f>
        <v>0</v>
      </c>
      <c r="F2" s="259"/>
      <c r="G2" s="229">
        <f>B2+C2-D2-E2+F2</f>
        <v>0</v>
      </c>
    </row>
    <row r="3" spans="1:7">
      <c r="A3" t="s">
        <v>4802</v>
      </c>
      <c r="B3" s="259">
        <f>SUMIF(其他应收款明细表!$C:$C,"组合计提坏账准备",其他应收款明细表!O:O)</f>
        <v>0</v>
      </c>
      <c r="C3" s="259">
        <f>SUMIF(其他应收款明细表!$C:$C,"组合计提坏账准备",其他应收款明细表!P:P)</f>
        <v>0</v>
      </c>
      <c r="D3" s="259">
        <f>SUMIF(其他应收款明细表!$C:$C,"组合计提坏账准备",其他应收款明细表!Q:Q)</f>
        <v>0</v>
      </c>
      <c r="E3" s="259">
        <f>SUMIF(其他应收款明细表!$C:$C,"组合计提坏账准备",其他应收款明细表!R:R)</f>
        <v>0</v>
      </c>
      <c r="F3" s="259"/>
      <c r="G3" s="229">
        <f>B3+C3-D3-E3+F3</f>
        <v>0</v>
      </c>
    </row>
    <row r="4" spans="1:7">
      <c r="A4" s="633" t="s">
        <v>262</v>
      </c>
      <c r="B4" s="229">
        <f>SUM(B2:B3)</f>
        <v>0</v>
      </c>
      <c r="C4" s="229">
        <f t="shared" ref="C4:G4" si="0">SUM(C2:C3)</f>
        <v>0</v>
      </c>
      <c r="D4" s="229">
        <f t="shared" si="0"/>
        <v>0</v>
      </c>
      <c r="E4" s="229">
        <f t="shared" si="0"/>
        <v>0</v>
      </c>
      <c r="F4" s="229">
        <f t="shared" si="0"/>
        <v>0</v>
      </c>
      <c r="G4" s="229">
        <f t="shared" si="0"/>
        <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codeName="Sheet123">
    <tabColor rgb="FFFFC000"/>
  </sheetPr>
  <dimension ref="A1:D4"/>
  <sheetViews>
    <sheetView workbookViewId="0">
      <selection activeCell="D23" sqref="D23"/>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242</v>
      </c>
      <c r="B1" s="18" t="s">
        <v>3340</v>
      </c>
      <c r="C1" s="18" t="s">
        <v>248</v>
      </c>
      <c r="D1" s="18" t="s">
        <v>249</v>
      </c>
    </row>
    <row r="2" spans="1:4">
      <c r="A2" s="246"/>
      <c r="B2" s="246"/>
      <c r="C2" s="246"/>
      <c r="D2" s="246"/>
    </row>
    <row r="3" spans="1:4">
      <c r="A3" s="246"/>
      <c r="B3" s="246"/>
      <c r="C3" s="246"/>
      <c r="D3" s="246"/>
    </row>
    <row r="4" spans="1:4">
      <c r="A4" s="18" t="s">
        <v>204</v>
      </c>
      <c r="B4" s="18">
        <f>ROUND(SUM(B2:B3),2)</f>
        <v>0</v>
      </c>
      <c r="C4" s="18">
        <f>ROUND(SUM(C2:C3),2)</f>
        <v>0</v>
      </c>
      <c r="D4" s="18" t="s">
        <v>247</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codeName="Sheet124">
    <tabColor rgb="FFFFC000"/>
  </sheetPr>
  <dimension ref="A1:F8"/>
  <sheetViews>
    <sheetView workbookViewId="0">
      <selection activeCell="H26" sqref="H26"/>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242</v>
      </c>
      <c r="B1" s="18" t="s">
        <v>292</v>
      </c>
      <c r="C1" s="18" t="s">
        <v>3339</v>
      </c>
      <c r="D1" s="18" t="s">
        <v>233</v>
      </c>
      <c r="E1" s="18" t="s">
        <v>234</v>
      </c>
      <c r="F1" s="18" t="s">
        <v>251</v>
      </c>
    </row>
    <row r="2" spans="1:6">
      <c r="A2" s="246"/>
      <c r="B2" s="246"/>
      <c r="C2" s="246"/>
      <c r="D2" s="246"/>
      <c r="E2" s="246"/>
      <c r="F2" s="246"/>
    </row>
    <row r="3" spans="1:6">
      <c r="A3" s="246"/>
      <c r="B3" s="246"/>
      <c r="C3" s="246"/>
      <c r="D3" s="246"/>
      <c r="E3" s="246"/>
      <c r="F3" s="246"/>
    </row>
    <row r="4" spans="1:6">
      <c r="A4" s="246"/>
      <c r="B4" s="246"/>
      <c r="C4" s="246"/>
      <c r="D4" s="246"/>
      <c r="E4" s="246"/>
      <c r="F4" s="246"/>
    </row>
    <row r="5" spans="1:6">
      <c r="A5" s="246"/>
      <c r="B5" s="246"/>
      <c r="C5" s="246"/>
      <c r="D5" s="246"/>
      <c r="E5" s="246"/>
      <c r="F5" s="246"/>
    </row>
    <row r="6" spans="1:6">
      <c r="A6" s="246"/>
      <c r="B6" s="246"/>
      <c r="C6" s="246"/>
      <c r="D6" s="246"/>
      <c r="E6" s="246"/>
      <c r="F6" s="246"/>
    </row>
    <row r="7" spans="1:6">
      <c r="A7" s="246"/>
      <c r="B7" s="246"/>
      <c r="C7" s="246"/>
      <c r="D7" s="246"/>
      <c r="E7" s="246"/>
      <c r="F7" s="246"/>
    </row>
    <row r="8" spans="1:6">
      <c r="A8" s="18" t="s">
        <v>204</v>
      </c>
      <c r="B8" s="18" t="s">
        <v>247</v>
      </c>
      <c r="C8" s="18">
        <f>ROUND(SUM(C2:C7),2)</f>
        <v>0</v>
      </c>
      <c r="D8" s="18" t="s">
        <v>247</v>
      </c>
      <c r="F8" s="18" t="s">
        <v>247</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sheetPr codeName="Sheet126">
    <tabColor rgb="FFFFC000"/>
  </sheetPr>
  <dimension ref="A1:F7"/>
  <sheetViews>
    <sheetView workbookViewId="0">
      <selection activeCell="E22" sqref="E22"/>
    </sheetView>
  </sheetViews>
  <sheetFormatPr defaultRowHeight="13.8"/>
  <cols>
    <col min="1" max="1" width="11.6640625" style="1" bestFit="1" customWidth="1"/>
    <col min="2" max="3" width="9.5546875" style="1" bestFit="1" customWidth="1"/>
    <col min="4" max="4" width="16" style="1" customWidth="1"/>
    <col min="5" max="5" width="32.5546875" style="1" bestFit="1" customWidth="1"/>
    <col min="6" max="6" width="10.6640625" style="1" bestFit="1" customWidth="1"/>
    <col min="7" max="16384" width="8.88671875" style="18"/>
  </cols>
  <sheetData>
    <row r="1" spans="1:6">
      <c r="A1" s="1" t="s">
        <v>242</v>
      </c>
      <c r="B1" s="1" t="s">
        <v>232</v>
      </c>
      <c r="C1" s="1" t="s">
        <v>3337</v>
      </c>
      <c r="D1" s="1" t="s">
        <v>243</v>
      </c>
      <c r="E1" s="1" t="s">
        <v>293</v>
      </c>
      <c r="F1" s="1" t="s">
        <v>213</v>
      </c>
    </row>
    <row r="2" spans="1:6">
      <c r="A2" s="1">
        <f>INDEX(其他应收款明细表!B:B,MATCH(按欠款方归集的年末金额前五名的其他应收款项情况!C2,其他应收款明细表!H:H,0))</f>
        <v>0</v>
      </c>
      <c r="B2" s="1" t="str">
        <f>_xlfn.IFNA(VLOOKUP(A2,其他应收款明细表!B:F,5,0),"")</f>
        <v/>
      </c>
      <c r="C2" s="1">
        <f>LARGE(其他应收款明细表!H:H,1)</f>
        <v>0</v>
      </c>
      <c r="D2" s="301" t="str">
        <f>_xlfn.IFNA(IF(ROUND(VLOOKUP(A2,其他应收款明细表!B:N,8,0),2)=ROUND(C2,2),"1年以内",IF(VLOOKUP(A2,其他应收款明细表!B:N,8,0)&gt;0,"1年以内"&amp;ROUND(VLOOKUP(A2,其他应收款明细表!B:N,8,0),2)&amp;"元;","")&amp;IF(VLOOKUP(A2,其他应收款明细表!B:N,9,0)&gt;0,"1-2年"&amp;ROUND(VLOOKUP(A2,其他应收款明细表!B:N,9,0),2)&amp;"元;","")&amp;IF(VLOOKUP(A2,其他应收款明细表!B:N,10,0)&gt;0,"2-3年"&amp;ROUND(VLOOKUP(A2,其他应收款明细表!B:N,10,0),2)&amp;"元;","")&amp;IF(VLOOKUP(A2,其他应收款明细表!B:N,11,0)&gt;0,"3-4年"&amp;ROUND(VLOOKUP(A2,其他应收款明细表!B:N,11,0),2)&amp;"元;","")&amp;IF(VLOOKUP(A2,其他应收款明细表!B:N,12,0)&gt;0,"4-5年"&amp;ROUND(VLOOKUP(A2,其他应收款明细表!B:N,12,0),2)&amp;"元;","")&amp;IF(VLOOKUP(A2,其他应收款明细表!B:N,13,0)&gt;0,"5年以上"&amp;ROUND(VLOOKUP(A2,其他应收款明细表!B:N,13,0),2)&amp;"元;","")),"1年以内")</f>
        <v>1年以内</v>
      </c>
      <c r="E2" s="1" t="e">
        <f>ROUND(C2/本期TB!$H$29*100,2)</f>
        <v>#DIV/0!</v>
      </c>
      <c r="F2" s="1">
        <f>_xlfn.IFNA(VLOOKUP(A2,其他应收款明细表!B:S,18,0),0)</f>
        <v>0</v>
      </c>
    </row>
    <row r="3" spans="1:6">
      <c r="A3" s="1">
        <f>INDEX(其他应收款明细表!B:B,MATCH(按欠款方归集的年末金额前五名的其他应收款项情况!C3,其他应收款明细表!H:H,0))</f>
        <v>0</v>
      </c>
      <c r="B3" s="1" t="str">
        <f>_xlfn.IFNA(VLOOKUP(A3,其他应收款明细表!B:F,5,0),"")</f>
        <v/>
      </c>
      <c r="C3" s="1">
        <f>LARGE(其他应收款明细表!H:H,2)</f>
        <v>0</v>
      </c>
      <c r="D3" s="301" t="str">
        <f>_xlfn.IFNA(IF(ROUND(VLOOKUP(A3,其他应收款明细表!B:N,8,0),2)=ROUND(C3,2),"1年以内",IF(VLOOKUP(A3,其他应收款明细表!B:N,8,0)&gt;0,"1年以内"&amp;ROUND(VLOOKUP(A3,其他应收款明细表!B:N,8,0),2)&amp;"元;","")&amp;IF(VLOOKUP(A3,其他应收款明细表!B:N,9,0)&gt;0,"1-2年"&amp;ROUND(VLOOKUP(A3,其他应收款明细表!B:N,9,0),2)&amp;"元;","")&amp;IF(VLOOKUP(A3,其他应收款明细表!B:N,10,0)&gt;0,"2-3年"&amp;ROUND(VLOOKUP(A3,其他应收款明细表!B:N,10,0),2)&amp;"元;","")&amp;IF(VLOOKUP(A3,其他应收款明细表!B:N,11,0)&gt;0,"3-4年"&amp;ROUND(VLOOKUP(A3,其他应收款明细表!B:N,11,0),2)&amp;"元;","")&amp;IF(VLOOKUP(A3,其他应收款明细表!B:N,12,0)&gt;0,"4-5年"&amp;ROUND(VLOOKUP(A3,其他应收款明细表!B:N,12,0),2)&amp;"元;","")&amp;IF(VLOOKUP(A3,其他应收款明细表!B:N,13,0)&gt;0,"5年以上"&amp;ROUND(VLOOKUP(A3,其他应收款明细表!B:N,13,0),2)&amp;"元;","")),"1年以内")</f>
        <v>1年以内</v>
      </c>
      <c r="E3" s="1" t="e">
        <f>ROUND(C3/本期TB!$H$29*100,2)</f>
        <v>#DIV/0!</v>
      </c>
      <c r="F3" s="1">
        <f>_xlfn.IFNA(VLOOKUP(A3,其他应收款明细表!B:S,18,0),0)</f>
        <v>0</v>
      </c>
    </row>
    <row r="4" spans="1:6">
      <c r="A4" s="1">
        <f>INDEX(其他应收款明细表!B:B,MATCH(按欠款方归集的年末金额前五名的其他应收款项情况!C4,其他应收款明细表!H:H,0))</f>
        <v>0</v>
      </c>
      <c r="B4" s="1" t="str">
        <f>_xlfn.IFNA(VLOOKUP(A4,其他应收款明细表!B:F,5,0),"")</f>
        <v/>
      </c>
      <c r="C4" s="1">
        <f>LARGE(其他应收款明细表!H:H,3)</f>
        <v>0</v>
      </c>
      <c r="D4" s="301" t="str">
        <f>_xlfn.IFNA(IF(ROUND(VLOOKUP(A4,其他应收款明细表!B:N,8,0),2)=ROUND(C4,2),"1年以内",IF(VLOOKUP(A4,其他应收款明细表!B:N,8,0)&gt;0,"1年以内"&amp;ROUND(VLOOKUP(A4,其他应收款明细表!B:N,8,0),2)&amp;"元;","")&amp;IF(VLOOKUP(A4,其他应收款明细表!B:N,9,0)&gt;0,"1-2年"&amp;ROUND(VLOOKUP(A4,其他应收款明细表!B:N,9,0),2)&amp;"元;","")&amp;IF(VLOOKUP(A4,其他应收款明细表!B:N,10,0)&gt;0,"2-3年"&amp;ROUND(VLOOKUP(A4,其他应收款明细表!B:N,10,0),2)&amp;"元;","")&amp;IF(VLOOKUP(A4,其他应收款明细表!B:N,11,0)&gt;0,"3-4年"&amp;ROUND(VLOOKUP(A4,其他应收款明细表!B:N,11,0),2)&amp;"元;","")&amp;IF(VLOOKUP(A4,其他应收款明细表!B:N,12,0)&gt;0,"4-5年"&amp;ROUND(VLOOKUP(A4,其他应收款明细表!B:N,12,0),2)&amp;"元;","")&amp;IF(VLOOKUP(A4,其他应收款明细表!B:N,13,0)&gt;0,"5年以上"&amp;ROUND(VLOOKUP(A4,其他应收款明细表!B:N,13,0),2)&amp;"元;","")),"1年以内")</f>
        <v>1年以内</v>
      </c>
      <c r="E4" s="1" t="e">
        <f>ROUND(C4/本期TB!$H$29*100,2)</f>
        <v>#DIV/0!</v>
      </c>
      <c r="F4" s="1">
        <f>_xlfn.IFNA(VLOOKUP(A4,其他应收款明细表!B:S,18,0),0)</f>
        <v>0</v>
      </c>
    </row>
    <row r="5" spans="1:6">
      <c r="A5" s="1">
        <f>INDEX(其他应收款明细表!B:B,MATCH(按欠款方归集的年末金额前五名的其他应收款项情况!C5,其他应收款明细表!H:H,0))</f>
        <v>0</v>
      </c>
      <c r="B5" s="1" t="str">
        <f>_xlfn.IFNA(VLOOKUP(A5,其他应收款明细表!B:F,5,0),"")</f>
        <v/>
      </c>
      <c r="C5" s="1">
        <f>LARGE(其他应收款明细表!H:H,4)</f>
        <v>0</v>
      </c>
      <c r="D5" s="301" t="str">
        <f>_xlfn.IFNA(IF(ROUND(VLOOKUP(A5,其他应收款明细表!B:N,8,0),2)=ROUND(C5,2),"1年以内",IF(VLOOKUP(A5,其他应收款明细表!B:N,8,0)&gt;0,"1年以内"&amp;ROUND(VLOOKUP(A5,其他应收款明细表!B:N,8,0),2)&amp;"元;","")&amp;IF(VLOOKUP(A5,其他应收款明细表!B:N,9,0)&gt;0,"1-2年"&amp;ROUND(VLOOKUP(A5,其他应收款明细表!B:N,9,0),2)&amp;"元;","")&amp;IF(VLOOKUP(A5,其他应收款明细表!B:N,10,0)&gt;0,"2-3年"&amp;ROUND(VLOOKUP(A5,其他应收款明细表!B:N,10,0),2)&amp;"元;","")&amp;IF(VLOOKUP(A5,其他应收款明细表!B:N,11,0)&gt;0,"3-4年"&amp;ROUND(VLOOKUP(A5,其他应收款明细表!B:N,11,0),2)&amp;"元;","")&amp;IF(VLOOKUP(A5,其他应收款明细表!B:N,12,0)&gt;0,"4-5年"&amp;ROUND(VLOOKUP(A5,其他应收款明细表!B:N,12,0),2)&amp;"元;","")&amp;IF(VLOOKUP(A5,其他应收款明细表!B:N,13,0)&gt;0,"5年以上"&amp;ROUND(VLOOKUP(A5,其他应收款明细表!B:N,13,0),2)&amp;"元;","")),"1年以内")</f>
        <v>1年以内</v>
      </c>
      <c r="E5" s="1" t="e">
        <f>ROUND(C5/本期TB!$H$29*100,2)</f>
        <v>#DIV/0!</v>
      </c>
      <c r="F5" s="1">
        <f>_xlfn.IFNA(VLOOKUP(A5,其他应收款明细表!B:S,18,0),0)</f>
        <v>0</v>
      </c>
    </row>
    <row r="6" spans="1:6">
      <c r="A6" s="1">
        <f>INDEX(其他应收款明细表!B:B,MATCH(按欠款方归集的年末金额前五名的其他应收款项情况!C6,其他应收款明细表!H:H,0))</f>
        <v>0</v>
      </c>
      <c r="B6" s="1" t="str">
        <f>_xlfn.IFNA(VLOOKUP(A6,其他应收款明细表!B:F,5,0),"")</f>
        <v/>
      </c>
      <c r="C6" s="1">
        <f>LARGE(其他应收款明细表!H:H,5)</f>
        <v>0</v>
      </c>
      <c r="D6" s="301" t="str">
        <f>_xlfn.IFNA(IF(ROUND(VLOOKUP(A6,其他应收款明细表!B:N,8,0),2)=ROUND(C6,2),"1年以内",IF(VLOOKUP(A6,其他应收款明细表!B:N,8,0)&gt;0,"1年以内"&amp;ROUND(VLOOKUP(A6,其他应收款明细表!B:N,8,0),2)&amp;"元;","")&amp;IF(VLOOKUP(A6,其他应收款明细表!B:N,9,0)&gt;0,"1-2年"&amp;ROUND(VLOOKUP(A6,其他应收款明细表!B:N,9,0),2)&amp;"元;","")&amp;IF(VLOOKUP(A6,其他应收款明细表!B:N,10,0)&gt;0,"2-3年"&amp;ROUND(VLOOKUP(A6,其他应收款明细表!B:N,10,0),2)&amp;"元;","")&amp;IF(VLOOKUP(A6,其他应收款明细表!B:N,11,0)&gt;0,"3-4年"&amp;ROUND(VLOOKUP(A6,其他应收款明细表!B:N,11,0),2)&amp;"元;","")&amp;IF(VLOOKUP(A6,其他应收款明细表!B:N,12,0)&gt;0,"4-5年"&amp;ROUND(VLOOKUP(A6,其他应收款明细表!B:N,12,0),2)&amp;"元;","")&amp;IF(VLOOKUP(A6,其他应收款明细表!B:N,13,0)&gt;0,"5年以上"&amp;ROUND(VLOOKUP(A6,其他应收款明细表!B:N,13,0),2)&amp;"元;","")),"1年以内")</f>
        <v>1年以内</v>
      </c>
      <c r="E6" s="1" t="e">
        <f>ROUND(C6/本期TB!$H$29*100,2)</f>
        <v>#DIV/0!</v>
      </c>
      <c r="F6" s="1">
        <f>_xlfn.IFNA(VLOOKUP(A6,其他应收款明细表!B:S,18,0),0)</f>
        <v>0</v>
      </c>
    </row>
    <row r="7" spans="1:6">
      <c r="A7" s="1" t="s">
        <v>204</v>
      </c>
      <c r="B7" s="1" t="s">
        <v>247</v>
      </c>
      <c r="C7" s="1">
        <f>SUM(C2:C6)</f>
        <v>0</v>
      </c>
      <c r="D7" s="301" t="str">
        <f>_xlfn.IFNA(IF(ROUND(VLOOKUP(A7,其他应收款明细表!B:N,8,0),2)=ROUND(C7,2),"1年以内",IF(VLOOKUP(A7,其他应收款明细表!B:N,8,0)&gt;0,"1年以内"&amp;ROUND(VLOOKUP(A7,其他应收款明细表!B:N,8,0),2)&amp;"元;","")&amp;IF(VLOOKUP(A7,其他应收款明细表!B:N,9,0)&gt;0,"1-2年"&amp;ROUND(VLOOKUP(A7,其他应收款明细表!B:N,9,0),2)&amp;"元;","")&amp;IF(VLOOKUP(A7,其他应收款明细表!B:N,10,0)&gt;0,"2-3年"&amp;ROUND(VLOOKUP(A7,其他应收款明细表!B:N,10,0),2)&amp;"元;","")&amp;IF(VLOOKUP(A7,其他应收款明细表!B:N,11,0)&gt;0,"3-4年"&amp;ROUND(VLOOKUP(A7,其他应收款明细表!B:N,11,0),2)&amp;"元;","")&amp;IF(VLOOKUP(A7,其他应收款明细表!B:N,12,0)&gt;0,"4-5年"&amp;ROUND(VLOOKUP(A7,其他应收款明细表!B:N,12,0),2)&amp;"元;","")&amp;IF(VLOOKUP(A7,其他应收款明细表!B:N,13,0)&gt;0,"5年以上"&amp;ROUND(VLOOKUP(A7,其他应收款明细表!B:N,13,0),2)&amp;"元;","")),"1年以内")</f>
        <v>1年以内</v>
      </c>
      <c r="E7" s="1" t="e">
        <f>SUM(E2:E6)</f>
        <v>#DIV/0!</v>
      </c>
      <c r="F7" s="1">
        <f>SUM(F2:F6)</f>
        <v>0</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codeName="Sheet127">
    <tabColor rgb="FFFFC000"/>
  </sheetPr>
  <dimension ref="A1:E5"/>
  <sheetViews>
    <sheetView workbookViewId="0">
      <selection activeCell="J29" sqref="J29"/>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222</v>
      </c>
      <c r="B1" s="18" t="s">
        <v>310</v>
      </c>
      <c r="C1" s="18" t="s">
        <v>245</v>
      </c>
      <c r="D1" s="18" t="s">
        <v>312</v>
      </c>
      <c r="E1" s="18" t="s">
        <v>311</v>
      </c>
    </row>
    <row r="2" spans="1:5">
      <c r="A2" s="246"/>
      <c r="B2" s="246"/>
      <c r="C2" s="246"/>
      <c r="D2" s="246"/>
      <c r="E2" s="246"/>
    </row>
    <row r="3" spans="1:5">
      <c r="A3" s="246"/>
      <c r="B3" s="246"/>
      <c r="C3" s="246"/>
      <c r="D3" s="246"/>
      <c r="E3" s="246"/>
    </row>
    <row r="4" spans="1:5">
      <c r="A4" s="246"/>
      <c r="B4" s="246"/>
      <c r="C4" s="246"/>
      <c r="D4" s="246"/>
      <c r="E4" s="246"/>
    </row>
    <row r="5" spans="1:5">
      <c r="A5" s="18" t="s">
        <v>204</v>
      </c>
      <c r="C5" s="18">
        <f>ROUND(SUM(C2:C4),2)</f>
        <v>0</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codeName="Sheet128">
    <tabColor rgb="FFFFC000"/>
  </sheetPr>
  <dimension ref="A1:C6"/>
  <sheetViews>
    <sheetView workbookViewId="0">
      <selection activeCell="I19" sqref="I19"/>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242</v>
      </c>
      <c r="B1" s="18" t="s">
        <v>2386</v>
      </c>
      <c r="C1" s="18" t="s">
        <v>253</v>
      </c>
    </row>
    <row r="2" spans="1:3">
      <c r="A2" s="246"/>
      <c r="B2" s="246"/>
      <c r="C2" s="246"/>
    </row>
    <row r="3" spans="1:3">
      <c r="A3" s="246"/>
      <c r="B3" s="246"/>
      <c r="C3" s="246"/>
    </row>
    <row r="4" spans="1:3">
      <c r="A4" s="246"/>
      <c r="B4" s="246"/>
      <c r="C4" s="246"/>
    </row>
    <row r="5" spans="1:3">
      <c r="A5" s="246"/>
      <c r="B5" s="246"/>
      <c r="C5" s="246"/>
    </row>
    <row r="6" spans="1:3">
      <c r="A6" s="18" t="s">
        <v>204</v>
      </c>
      <c r="B6" s="18">
        <f>ROUND(SUM(B2:B5),2)</f>
        <v>0</v>
      </c>
      <c r="C6" s="18">
        <f>ROUND(SUM(C2:C5),2)</f>
        <v>0</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codeName="Sheet129">
    <tabColor rgb="FFFFC000"/>
  </sheetPr>
  <dimension ref="A1:B9"/>
  <sheetViews>
    <sheetView workbookViewId="0">
      <selection activeCell="K24" sqref="K24"/>
    </sheetView>
  </sheetViews>
  <sheetFormatPr defaultRowHeight="13.8"/>
  <cols>
    <col min="1" max="1" width="28.88671875" style="18" customWidth="1"/>
    <col min="2" max="2" width="17.6640625" style="18" customWidth="1"/>
    <col min="3" max="16384" width="8.88671875" style="18"/>
  </cols>
  <sheetData>
    <row r="1" spans="1:2">
      <c r="A1" s="18" t="s">
        <v>28</v>
      </c>
      <c r="B1" s="18" t="s">
        <v>199</v>
      </c>
    </row>
    <row r="2" spans="1:2">
      <c r="A2" s="18" t="s">
        <v>254</v>
      </c>
    </row>
    <row r="3" spans="1:2">
      <c r="A3" s="246"/>
      <c r="B3" s="246"/>
    </row>
    <row r="4" spans="1:2">
      <c r="A4" s="246"/>
      <c r="B4" s="246"/>
    </row>
    <row r="5" spans="1:2">
      <c r="A5" s="18" t="s">
        <v>255</v>
      </c>
      <c r="B5" s="18">
        <f>ROUND(SUM(B3:B4),2)</f>
        <v>0</v>
      </c>
    </row>
    <row r="6" spans="1:2">
      <c r="A6" s="18" t="s">
        <v>256</v>
      </c>
    </row>
    <row r="7" spans="1:2">
      <c r="A7" s="246"/>
      <c r="B7" s="246"/>
    </row>
    <row r="8" spans="1:2">
      <c r="A8" s="246"/>
      <c r="B8" s="246"/>
    </row>
    <row r="9" spans="1:2">
      <c r="A9" s="18" t="s">
        <v>257</v>
      </c>
      <c r="B9" s="18">
        <f>ROUND(SUM(B7:B8),2)</f>
        <v>0</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sheetPr codeName="Sheet130"/>
  <dimension ref="A1:AI250"/>
  <sheetViews>
    <sheetView workbookViewId="0">
      <pane xSplit="1" ySplit="1" topLeftCell="B2" activePane="bottomRight" state="frozen"/>
      <selection activeCell="D22" sqref="D22"/>
      <selection pane="topRight" activeCell="D22" sqref="D22"/>
      <selection pane="bottomLeft" activeCell="D22" sqref="D22"/>
      <selection pane="bottomRight" activeCell="J20" sqref="J20"/>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5" s="236" customFormat="1" ht="40.799999999999997">
      <c r="A1" s="270" t="s">
        <v>1976</v>
      </c>
      <c r="B1" s="270" t="s">
        <v>125</v>
      </c>
      <c r="C1" s="587" t="s">
        <v>2151</v>
      </c>
      <c r="D1" s="587" t="s">
        <v>2346</v>
      </c>
      <c r="E1" s="587" t="s">
        <v>2347</v>
      </c>
      <c r="F1" s="587" t="s">
        <v>2348</v>
      </c>
      <c r="G1" s="587" t="s">
        <v>1685</v>
      </c>
      <c r="H1" s="588" t="s">
        <v>245</v>
      </c>
      <c r="I1" s="590" t="s">
        <v>3733</v>
      </c>
      <c r="J1" s="587" t="s">
        <v>3734</v>
      </c>
      <c r="K1" s="587" t="s">
        <v>3735</v>
      </c>
      <c r="L1" s="587" t="s">
        <v>3736</v>
      </c>
      <c r="M1" s="587" t="s">
        <v>3737</v>
      </c>
      <c r="N1" s="587" t="s">
        <v>3738</v>
      </c>
      <c r="O1" s="587" t="s">
        <v>219</v>
      </c>
      <c r="P1" s="587" t="s">
        <v>2349</v>
      </c>
      <c r="Q1" s="587" t="s">
        <v>2350</v>
      </c>
      <c r="R1" s="587" t="s">
        <v>2393</v>
      </c>
      <c r="S1" s="588" t="s">
        <v>215</v>
      </c>
      <c r="T1" s="590" t="s">
        <v>3695</v>
      </c>
      <c r="U1" s="587" t="s">
        <v>3696</v>
      </c>
      <c r="V1" s="587" t="s">
        <v>3697</v>
      </c>
      <c r="W1" s="587" t="s">
        <v>3698</v>
      </c>
      <c r="X1" s="587" t="s">
        <v>3699</v>
      </c>
      <c r="Y1" s="587" t="s">
        <v>3700</v>
      </c>
      <c r="Z1" s="587" t="s">
        <v>318</v>
      </c>
      <c r="AA1" s="590" t="s">
        <v>3701</v>
      </c>
      <c r="AB1" s="587" t="s">
        <v>3702</v>
      </c>
      <c r="AC1" s="587" t="s">
        <v>3703</v>
      </c>
      <c r="AD1" s="587" t="s">
        <v>3704</v>
      </c>
      <c r="AE1" s="587" t="s">
        <v>3705</v>
      </c>
      <c r="AF1" s="587" t="s">
        <v>3706</v>
      </c>
      <c r="AG1" s="587" t="s">
        <v>2351</v>
      </c>
      <c r="AH1" s="587" t="s">
        <v>3757</v>
      </c>
      <c r="AI1" s="587" t="s">
        <v>3758</v>
      </c>
    </row>
    <row r="2" spans="1:35">
      <c r="A2" t="str">
        <f>IF(ABS(H2)&gt;0,基础信息!$B$1,"")</f>
        <v/>
      </c>
      <c r="B2" s="255"/>
      <c r="C2" s="276"/>
      <c r="D2" s="255"/>
      <c r="E2" s="276"/>
      <c r="F2" s="276"/>
      <c r="G2" s="276"/>
      <c r="H2" s="229">
        <f>SUM(I2:N2)</f>
        <v>0</v>
      </c>
      <c r="I2" s="255"/>
      <c r="J2" s="255"/>
      <c r="K2" s="255"/>
      <c r="L2" s="255"/>
      <c r="M2" s="255"/>
      <c r="N2" s="255"/>
      <c r="O2" s="255"/>
      <c r="P2" s="255"/>
      <c r="Q2" s="255"/>
      <c r="R2" s="255"/>
      <c r="S2" s="229">
        <f>O2+P2-Q2-R2</f>
        <v>0</v>
      </c>
      <c r="T2" s="255"/>
      <c r="U2" s="255"/>
      <c r="V2" s="255"/>
      <c r="W2" s="255"/>
      <c r="X2" s="255"/>
      <c r="Y2" s="255"/>
      <c r="Z2" s="230">
        <f t="shared" ref="Z2:Z25" si="0">H2-S2</f>
        <v>0</v>
      </c>
      <c r="AA2" s="230">
        <f t="shared" ref="AA2:AA25" si="1">I2-T2</f>
        <v>0</v>
      </c>
      <c r="AB2" s="230">
        <f t="shared" ref="AB2:AB25" si="2">J2-U2</f>
        <v>0</v>
      </c>
      <c r="AC2" s="230">
        <f t="shared" ref="AC2:AC25" si="3">K2-V2</f>
        <v>0</v>
      </c>
      <c r="AD2" s="230">
        <f t="shared" ref="AD2:AD25" si="4">L2-W2</f>
        <v>0</v>
      </c>
      <c r="AE2" s="230">
        <f t="shared" ref="AE2:AE25" si="5">M2-X2</f>
        <v>0</v>
      </c>
      <c r="AF2" s="230">
        <f t="shared" ref="AF2:AF25" si="6">N2-Y2</f>
        <v>0</v>
      </c>
      <c r="AG2" s="230">
        <f>S2-SUM(T2:Y2)</f>
        <v>0</v>
      </c>
    </row>
    <row r="3" spans="1:35">
      <c r="A3" t="str">
        <f>IF(ABS(H3)&gt;0,基础信息!$B$1,"")</f>
        <v/>
      </c>
      <c r="B3" s="255"/>
      <c r="C3" s="276"/>
      <c r="D3" s="255"/>
      <c r="E3" s="276"/>
      <c r="F3" s="276"/>
      <c r="G3" s="276"/>
      <c r="H3" s="229">
        <f t="shared" ref="H3:H25" si="7">SUM(I3:N3)</f>
        <v>0</v>
      </c>
      <c r="I3" s="255"/>
      <c r="J3" s="255"/>
      <c r="K3" s="255"/>
      <c r="L3" s="255"/>
      <c r="M3" s="255"/>
      <c r="N3" s="255"/>
      <c r="O3" s="255"/>
      <c r="P3" s="255"/>
      <c r="Q3" s="255"/>
      <c r="R3" s="255"/>
      <c r="S3" s="229">
        <f t="shared" ref="S3:S35" si="8">O3+P3-Q3-R3</f>
        <v>0</v>
      </c>
      <c r="T3" s="255"/>
      <c r="U3" s="255"/>
      <c r="V3" s="255"/>
      <c r="W3" s="255"/>
      <c r="X3" s="255"/>
      <c r="Y3" s="255"/>
      <c r="Z3" s="230">
        <f t="shared" si="0"/>
        <v>0</v>
      </c>
      <c r="AA3" s="230">
        <f t="shared" si="1"/>
        <v>0</v>
      </c>
      <c r="AB3" s="230">
        <f t="shared" si="2"/>
        <v>0</v>
      </c>
      <c r="AC3" s="230">
        <f t="shared" si="3"/>
        <v>0</v>
      </c>
      <c r="AD3" s="230">
        <f t="shared" si="4"/>
        <v>0</v>
      </c>
      <c r="AE3" s="230">
        <f t="shared" si="5"/>
        <v>0</v>
      </c>
      <c r="AF3" s="230">
        <f t="shared" si="6"/>
        <v>0</v>
      </c>
      <c r="AG3" s="230">
        <f t="shared" ref="AG3:AG25" si="9">S3-SUM(T3:Y3)</f>
        <v>0</v>
      </c>
    </row>
    <row r="4" spans="1:35">
      <c r="A4" t="str">
        <f>IF(ABS(H4)&gt;0,基础信息!$B$1,"")</f>
        <v/>
      </c>
      <c r="B4" s="255"/>
      <c r="C4" s="276"/>
      <c r="D4" s="255"/>
      <c r="E4" s="276"/>
      <c r="F4" s="276"/>
      <c r="G4" s="276"/>
      <c r="H4" s="229">
        <f t="shared" si="7"/>
        <v>0</v>
      </c>
      <c r="I4" s="255"/>
      <c r="J4" s="255"/>
      <c r="K4" s="255"/>
      <c r="L4" s="255"/>
      <c r="M4" s="255"/>
      <c r="N4" s="255"/>
      <c r="O4" s="255"/>
      <c r="P4" s="255"/>
      <c r="Q4" s="255"/>
      <c r="R4" s="255"/>
      <c r="S4" s="229">
        <f t="shared" si="8"/>
        <v>0</v>
      </c>
      <c r="T4" s="255"/>
      <c r="U4" s="255"/>
      <c r="V4" s="255"/>
      <c r="W4" s="255"/>
      <c r="X4" s="255"/>
      <c r="Y4" s="255"/>
      <c r="Z4" s="230">
        <f t="shared" si="0"/>
        <v>0</v>
      </c>
      <c r="AA4" s="230">
        <f t="shared" si="1"/>
        <v>0</v>
      </c>
      <c r="AB4" s="230">
        <f t="shared" si="2"/>
        <v>0</v>
      </c>
      <c r="AC4" s="230">
        <f t="shared" si="3"/>
        <v>0</v>
      </c>
      <c r="AD4" s="230">
        <f t="shared" si="4"/>
        <v>0</v>
      </c>
      <c r="AE4" s="230">
        <f t="shared" si="5"/>
        <v>0</v>
      </c>
      <c r="AF4" s="230">
        <f t="shared" si="6"/>
        <v>0</v>
      </c>
      <c r="AG4" s="230">
        <f t="shared" si="9"/>
        <v>0</v>
      </c>
    </row>
    <row r="5" spans="1:35">
      <c r="A5" t="str">
        <f>IF(ABS(H5)&gt;0,基础信息!$B$1,"")</f>
        <v/>
      </c>
      <c r="B5" s="255"/>
      <c r="C5" s="276"/>
      <c r="D5" s="255"/>
      <c r="E5" s="276"/>
      <c r="F5" s="276"/>
      <c r="G5" s="276"/>
      <c r="H5" s="229">
        <f t="shared" si="7"/>
        <v>0</v>
      </c>
      <c r="I5" s="255"/>
      <c r="J5" s="255"/>
      <c r="K5" s="255"/>
      <c r="L5" s="255"/>
      <c r="M5" s="255"/>
      <c r="N5" s="255"/>
      <c r="O5" s="255"/>
      <c r="P5" s="255"/>
      <c r="Q5" s="255"/>
      <c r="R5" s="255"/>
      <c r="S5" s="229">
        <f t="shared" si="8"/>
        <v>0</v>
      </c>
      <c r="T5" s="255"/>
      <c r="U5" s="255"/>
      <c r="V5" s="255"/>
      <c r="W5" s="255"/>
      <c r="X5" s="255"/>
      <c r="Y5" s="255"/>
      <c r="Z5" s="230">
        <f t="shared" si="0"/>
        <v>0</v>
      </c>
      <c r="AA5" s="230">
        <f t="shared" si="1"/>
        <v>0</v>
      </c>
      <c r="AB5" s="230">
        <f t="shared" si="2"/>
        <v>0</v>
      </c>
      <c r="AC5" s="230">
        <f t="shared" si="3"/>
        <v>0</v>
      </c>
      <c r="AD5" s="230">
        <f t="shared" si="4"/>
        <v>0</v>
      </c>
      <c r="AE5" s="230">
        <f t="shared" si="5"/>
        <v>0</v>
      </c>
      <c r="AF5" s="230">
        <f t="shared" si="6"/>
        <v>0</v>
      </c>
      <c r="AG5" s="230">
        <f t="shared" si="9"/>
        <v>0</v>
      </c>
      <c r="AH5" s="587"/>
    </row>
    <row r="6" spans="1:35">
      <c r="A6" t="str">
        <f>IF(ABS(H6)&gt;0,基础信息!$B$1,"")</f>
        <v/>
      </c>
      <c r="B6" s="255"/>
      <c r="C6" s="276"/>
      <c r="D6" s="255"/>
      <c r="E6" s="276"/>
      <c r="F6" s="276"/>
      <c r="G6" s="276"/>
      <c r="H6" s="229">
        <f t="shared" si="7"/>
        <v>0</v>
      </c>
      <c r="I6" s="255"/>
      <c r="J6" s="255"/>
      <c r="K6" s="255"/>
      <c r="L6" s="255"/>
      <c r="M6" s="255"/>
      <c r="N6" s="255"/>
      <c r="O6" s="255"/>
      <c r="P6" s="255"/>
      <c r="Q6" s="255"/>
      <c r="R6" s="255"/>
      <c r="S6" s="229">
        <f t="shared" si="8"/>
        <v>0</v>
      </c>
      <c r="T6" s="255"/>
      <c r="U6" s="255"/>
      <c r="V6" s="255"/>
      <c r="W6" s="255"/>
      <c r="X6" s="255"/>
      <c r="Y6" s="255"/>
      <c r="Z6" s="230">
        <f t="shared" si="0"/>
        <v>0</v>
      </c>
      <c r="AA6" s="230">
        <f t="shared" si="1"/>
        <v>0</v>
      </c>
      <c r="AB6" s="230">
        <f t="shared" si="2"/>
        <v>0</v>
      </c>
      <c r="AC6" s="230">
        <f t="shared" si="3"/>
        <v>0</v>
      </c>
      <c r="AD6" s="230">
        <f t="shared" si="4"/>
        <v>0</v>
      </c>
      <c r="AE6" s="230">
        <f t="shared" si="5"/>
        <v>0</v>
      </c>
      <c r="AF6" s="230">
        <f t="shared" si="6"/>
        <v>0</v>
      </c>
      <c r="AG6" s="230">
        <f t="shared" si="9"/>
        <v>0</v>
      </c>
    </row>
    <row r="7" spans="1:35">
      <c r="A7" t="str">
        <f>IF(ABS(H7)&gt;0,基础信息!$B$1,"")</f>
        <v/>
      </c>
      <c r="B7" s="255"/>
      <c r="C7" s="276"/>
      <c r="D7" s="255"/>
      <c r="E7" s="276"/>
      <c r="F7" s="276"/>
      <c r="G7" s="276"/>
      <c r="H7" s="229">
        <f t="shared" si="7"/>
        <v>0</v>
      </c>
      <c r="I7" s="255"/>
      <c r="J7" s="255"/>
      <c r="K7" s="255"/>
      <c r="L7" s="255"/>
      <c r="M7" s="255"/>
      <c r="N7" s="255"/>
      <c r="O7" s="255"/>
      <c r="P7" s="255"/>
      <c r="Q7" s="255"/>
      <c r="R7" s="255"/>
      <c r="S7" s="229">
        <f t="shared" si="8"/>
        <v>0</v>
      </c>
      <c r="T7" s="255"/>
      <c r="U7" s="255"/>
      <c r="V7" s="255"/>
      <c r="W7" s="255"/>
      <c r="X7" s="255"/>
      <c r="Y7" s="255"/>
      <c r="Z7" s="230">
        <f t="shared" si="0"/>
        <v>0</v>
      </c>
      <c r="AA7" s="230">
        <f t="shared" si="1"/>
        <v>0</v>
      </c>
      <c r="AB7" s="230">
        <f t="shared" si="2"/>
        <v>0</v>
      </c>
      <c r="AC7" s="230">
        <f t="shared" si="3"/>
        <v>0</v>
      </c>
      <c r="AD7" s="230">
        <f t="shared" si="4"/>
        <v>0</v>
      </c>
      <c r="AE7" s="230">
        <f t="shared" si="5"/>
        <v>0</v>
      </c>
      <c r="AF7" s="230">
        <f t="shared" si="6"/>
        <v>0</v>
      </c>
      <c r="AG7" s="230">
        <f t="shared" si="9"/>
        <v>0</v>
      </c>
    </row>
    <row r="8" spans="1:35">
      <c r="A8" t="str">
        <f>IF(ABS(H8)&gt;0,基础信息!$B$1,"")</f>
        <v/>
      </c>
      <c r="B8" s="255"/>
      <c r="C8" s="276"/>
      <c r="D8" s="255"/>
      <c r="E8" s="276"/>
      <c r="F8" s="276"/>
      <c r="G8" s="276"/>
      <c r="H8" s="229">
        <f t="shared" si="7"/>
        <v>0</v>
      </c>
      <c r="I8" s="255"/>
      <c r="J8" s="255"/>
      <c r="K8" s="255"/>
      <c r="L8" s="255"/>
      <c r="M8" s="255"/>
      <c r="N8" s="255"/>
      <c r="O8" s="255"/>
      <c r="P8" s="255"/>
      <c r="Q8" s="255"/>
      <c r="R8" s="255"/>
      <c r="S8" s="229">
        <f t="shared" si="8"/>
        <v>0</v>
      </c>
      <c r="T8" s="255"/>
      <c r="U8" s="255"/>
      <c r="V8" s="255"/>
      <c r="W8" s="255"/>
      <c r="X8" s="255"/>
      <c r="Y8" s="255"/>
      <c r="Z8" s="230">
        <f t="shared" si="0"/>
        <v>0</v>
      </c>
      <c r="AA8" s="230">
        <f t="shared" si="1"/>
        <v>0</v>
      </c>
      <c r="AB8" s="230">
        <f t="shared" si="2"/>
        <v>0</v>
      </c>
      <c r="AC8" s="230">
        <f t="shared" si="3"/>
        <v>0</v>
      </c>
      <c r="AD8" s="230">
        <f t="shared" si="4"/>
        <v>0</v>
      </c>
      <c r="AE8" s="230">
        <f t="shared" si="5"/>
        <v>0</v>
      </c>
      <c r="AF8" s="230">
        <f t="shared" si="6"/>
        <v>0</v>
      </c>
      <c r="AG8" s="230">
        <f t="shared" si="9"/>
        <v>0</v>
      </c>
    </row>
    <row r="9" spans="1:35">
      <c r="A9" t="str">
        <f>IF(ABS(H9)&gt;0,基础信息!$B$1,"")</f>
        <v/>
      </c>
      <c r="B9" s="255"/>
      <c r="C9" s="276"/>
      <c r="D9" s="255"/>
      <c r="E9" s="276"/>
      <c r="F9" s="276"/>
      <c r="G9" s="276"/>
      <c r="H9" s="229">
        <f t="shared" si="7"/>
        <v>0</v>
      </c>
      <c r="I9" s="255"/>
      <c r="J9" s="255"/>
      <c r="K9" s="255"/>
      <c r="L9" s="255"/>
      <c r="M9" s="255"/>
      <c r="N9" s="255"/>
      <c r="O9" s="255"/>
      <c r="P9" s="255"/>
      <c r="Q9" s="255"/>
      <c r="R9" s="255"/>
      <c r="S9" s="229">
        <f t="shared" si="8"/>
        <v>0</v>
      </c>
      <c r="T9" s="255"/>
      <c r="U9" s="255"/>
      <c r="V9" s="255"/>
      <c r="W9" s="255"/>
      <c r="X9" s="255"/>
      <c r="Y9" s="255"/>
      <c r="Z9" s="230">
        <f t="shared" si="0"/>
        <v>0</v>
      </c>
      <c r="AA9" s="230">
        <f t="shared" si="1"/>
        <v>0</v>
      </c>
      <c r="AB9" s="230">
        <f t="shared" si="2"/>
        <v>0</v>
      </c>
      <c r="AC9" s="230">
        <f t="shared" si="3"/>
        <v>0</v>
      </c>
      <c r="AD9" s="230">
        <f t="shared" si="4"/>
        <v>0</v>
      </c>
      <c r="AE9" s="230">
        <f t="shared" si="5"/>
        <v>0</v>
      </c>
      <c r="AF9" s="230">
        <f t="shared" si="6"/>
        <v>0</v>
      </c>
      <c r="AG9" s="230">
        <f t="shared" si="9"/>
        <v>0</v>
      </c>
    </row>
    <row r="10" spans="1:35">
      <c r="A10" t="str">
        <f>IF(ABS(H10)&gt;0,基础信息!$B$1,"")</f>
        <v/>
      </c>
      <c r="B10" s="255"/>
      <c r="C10" s="276"/>
      <c r="D10" s="255"/>
      <c r="E10" s="276"/>
      <c r="F10" s="276"/>
      <c r="G10" s="276"/>
      <c r="H10" s="229">
        <f t="shared" si="7"/>
        <v>0</v>
      </c>
      <c r="I10" s="255"/>
      <c r="J10" s="255"/>
      <c r="K10" s="255"/>
      <c r="L10" s="255"/>
      <c r="M10" s="255"/>
      <c r="N10" s="255"/>
      <c r="O10" s="255"/>
      <c r="P10" s="255"/>
      <c r="Q10" s="255"/>
      <c r="R10" s="255"/>
      <c r="S10" s="229">
        <f t="shared" si="8"/>
        <v>0</v>
      </c>
      <c r="T10" s="255"/>
      <c r="U10" s="255"/>
      <c r="V10" s="255"/>
      <c r="W10" s="255"/>
      <c r="X10" s="255"/>
      <c r="Y10" s="255"/>
      <c r="Z10" s="230">
        <f t="shared" si="0"/>
        <v>0</v>
      </c>
      <c r="AA10" s="230">
        <f t="shared" si="1"/>
        <v>0</v>
      </c>
      <c r="AB10" s="230">
        <f t="shared" si="2"/>
        <v>0</v>
      </c>
      <c r="AC10" s="230">
        <f t="shared" si="3"/>
        <v>0</v>
      </c>
      <c r="AD10" s="230">
        <f t="shared" si="4"/>
        <v>0</v>
      </c>
      <c r="AE10" s="230">
        <f t="shared" si="5"/>
        <v>0</v>
      </c>
      <c r="AF10" s="230">
        <f t="shared" si="6"/>
        <v>0</v>
      </c>
      <c r="AG10" s="230">
        <f t="shared" si="9"/>
        <v>0</v>
      </c>
    </row>
    <row r="11" spans="1:35">
      <c r="A11" t="str">
        <f>IF(ABS(H11)&gt;0,基础信息!$B$1,"")</f>
        <v/>
      </c>
      <c r="B11" s="255"/>
      <c r="C11" s="276"/>
      <c r="D11" s="255"/>
      <c r="E11" s="276"/>
      <c r="F11" s="276"/>
      <c r="G11" s="276"/>
      <c r="H11" s="229">
        <f t="shared" si="7"/>
        <v>0</v>
      </c>
      <c r="I11" s="255"/>
      <c r="J11" s="255"/>
      <c r="K11" s="255"/>
      <c r="L11" s="255"/>
      <c r="M11" s="255"/>
      <c r="N11" s="255"/>
      <c r="O11" s="255"/>
      <c r="P11" s="255"/>
      <c r="Q11" s="255"/>
      <c r="R11" s="255"/>
      <c r="S11" s="229">
        <f t="shared" si="8"/>
        <v>0</v>
      </c>
      <c r="T11" s="255"/>
      <c r="U11" s="255"/>
      <c r="V11" s="255"/>
      <c r="W11" s="255"/>
      <c r="X11" s="255"/>
      <c r="Y11" s="255"/>
      <c r="Z11" s="230">
        <f t="shared" si="0"/>
        <v>0</v>
      </c>
      <c r="AA11" s="230">
        <f t="shared" si="1"/>
        <v>0</v>
      </c>
      <c r="AB11" s="230">
        <f t="shared" si="2"/>
        <v>0</v>
      </c>
      <c r="AC11" s="230">
        <f t="shared" si="3"/>
        <v>0</v>
      </c>
      <c r="AD11" s="230">
        <f t="shared" si="4"/>
        <v>0</v>
      </c>
      <c r="AE11" s="230">
        <f t="shared" si="5"/>
        <v>0</v>
      </c>
      <c r="AF11" s="230">
        <f t="shared" si="6"/>
        <v>0</v>
      </c>
      <c r="AG11" s="230">
        <f t="shared" si="9"/>
        <v>0</v>
      </c>
    </row>
    <row r="12" spans="1:35">
      <c r="A12" t="str">
        <f>IF(ABS(H12)&gt;0,基础信息!$B$1,"")</f>
        <v/>
      </c>
      <c r="B12" s="255"/>
      <c r="C12" s="276"/>
      <c r="D12" s="255"/>
      <c r="E12" s="276"/>
      <c r="F12" s="276"/>
      <c r="G12" s="276"/>
      <c r="H12" s="229">
        <f t="shared" si="7"/>
        <v>0</v>
      </c>
      <c r="I12" s="255"/>
      <c r="J12" s="255"/>
      <c r="K12" s="255"/>
      <c r="L12" s="255"/>
      <c r="M12" s="255"/>
      <c r="N12" s="255"/>
      <c r="O12" s="255"/>
      <c r="P12" s="255"/>
      <c r="Q12" s="255"/>
      <c r="R12" s="255"/>
      <c r="S12" s="229">
        <f t="shared" si="8"/>
        <v>0</v>
      </c>
      <c r="T12" s="255"/>
      <c r="U12" s="255"/>
      <c r="V12" s="255"/>
      <c r="W12" s="255"/>
      <c r="X12" s="255"/>
      <c r="Y12" s="255"/>
      <c r="Z12" s="230">
        <f t="shared" si="0"/>
        <v>0</v>
      </c>
      <c r="AA12" s="230">
        <f t="shared" si="1"/>
        <v>0</v>
      </c>
      <c r="AB12" s="230">
        <f t="shared" si="2"/>
        <v>0</v>
      </c>
      <c r="AC12" s="230">
        <f t="shared" si="3"/>
        <v>0</v>
      </c>
      <c r="AD12" s="230">
        <f t="shared" si="4"/>
        <v>0</v>
      </c>
      <c r="AE12" s="230">
        <f t="shared" si="5"/>
        <v>0</v>
      </c>
      <c r="AF12" s="230">
        <f t="shared" si="6"/>
        <v>0</v>
      </c>
      <c r="AG12" s="230">
        <f t="shared" si="9"/>
        <v>0</v>
      </c>
    </row>
    <row r="13" spans="1:35">
      <c r="A13" t="str">
        <f>IF(ABS(H13)&gt;0,基础信息!$B$1,"")</f>
        <v/>
      </c>
      <c r="B13" s="255"/>
      <c r="C13" s="276"/>
      <c r="D13" s="255"/>
      <c r="E13" s="276"/>
      <c r="F13" s="276"/>
      <c r="G13" s="276"/>
      <c r="H13" s="229">
        <f t="shared" si="7"/>
        <v>0</v>
      </c>
      <c r="I13" s="255"/>
      <c r="J13" s="255"/>
      <c r="K13" s="255"/>
      <c r="L13" s="255"/>
      <c r="M13" s="255"/>
      <c r="N13" s="255"/>
      <c r="O13" s="255"/>
      <c r="P13" s="255"/>
      <c r="Q13" s="255"/>
      <c r="R13" s="255"/>
      <c r="S13" s="229">
        <f t="shared" si="8"/>
        <v>0</v>
      </c>
      <c r="T13" s="255"/>
      <c r="U13" s="255"/>
      <c r="V13" s="255"/>
      <c r="W13" s="255"/>
      <c r="X13" s="255"/>
      <c r="Y13" s="255"/>
      <c r="Z13" s="230">
        <f t="shared" si="0"/>
        <v>0</v>
      </c>
      <c r="AA13" s="230">
        <f t="shared" si="1"/>
        <v>0</v>
      </c>
      <c r="AB13" s="230">
        <f t="shared" si="2"/>
        <v>0</v>
      </c>
      <c r="AC13" s="230">
        <f t="shared" si="3"/>
        <v>0</v>
      </c>
      <c r="AD13" s="230">
        <f t="shared" si="4"/>
        <v>0</v>
      </c>
      <c r="AE13" s="230">
        <f t="shared" si="5"/>
        <v>0</v>
      </c>
      <c r="AF13" s="230">
        <f t="shared" si="6"/>
        <v>0</v>
      </c>
      <c r="AG13" s="230">
        <f t="shared" si="9"/>
        <v>0</v>
      </c>
    </row>
    <row r="14" spans="1:35">
      <c r="A14" t="str">
        <f>IF(ABS(H14)&gt;0,基础信息!$B$1,"")</f>
        <v/>
      </c>
      <c r="B14" s="255"/>
      <c r="C14" s="276"/>
      <c r="D14" s="255"/>
      <c r="E14" s="276"/>
      <c r="F14" s="276"/>
      <c r="G14" s="276"/>
      <c r="H14" s="229">
        <f t="shared" si="7"/>
        <v>0</v>
      </c>
      <c r="I14" s="255"/>
      <c r="J14" s="255"/>
      <c r="K14" s="255"/>
      <c r="L14" s="255"/>
      <c r="M14" s="255"/>
      <c r="N14" s="255"/>
      <c r="O14" s="255"/>
      <c r="P14" s="255"/>
      <c r="Q14" s="255"/>
      <c r="R14" s="255"/>
      <c r="S14" s="229">
        <f t="shared" si="8"/>
        <v>0</v>
      </c>
      <c r="T14" s="255"/>
      <c r="U14" s="255"/>
      <c r="V14" s="255"/>
      <c r="W14" s="255"/>
      <c r="X14" s="255"/>
      <c r="Y14" s="255"/>
      <c r="Z14" s="230">
        <f t="shared" si="0"/>
        <v>0</v>
      </c>
      <c r="AA14" s="230">
        <f t="shared" si="1"/>
        <v>0</v>
      </c>
      <c r="AB14" s="230">
        <f t="shared" si="2"/>
        <v>0</v>
      </c>
      <c r="AC14" s="230">
        <f t="shared" si="3"/>
        <v>0</v>
      </c>
      <c r="AD14" s="230">
        <f t="shared" si="4"/>
        <v>0</v>
      </c>
      <c r="AE14" s="230">
        <f t="shared" si="5"/>
        <v>0</v>
      </c>
      <c r="AF14" s="230">
        <f t="shared" si="6"/>
        <v>0</v>
      </c>
      <c r="AG14" s="230">
        <f t="shared" si="9"/>
        <v>0</v>
      </c>
    </row>
    <row r="15" spans="1:35">
      <c r="A15" t="str">
        <f>IF(ABS(H15)&gt;0,基础信息!$B$1,"")</f>
        <v/>
      </c>
      <c r="B15" s="255"/>
      <c r="C15" s="276"/>
      <c r="D15" s="255"/>
      <c r="E15" s="276"/>
      <c r="F15" s="276"/>
      <c r="G15" s="276"/>
      <c r="H15" s="229">
        <f t="shared" si="7"/>
        <v>0</v>
      </c>
      <c r="I15" s="255"/>
      <c r="J15" s="255"/>
      <c r="K15" s="255"/>
      <c r="L15" s="255"/>
      <c r="M15" s="255"/>
      <c r="N15" s="255"/>
      <c r="O15" s="255"/>
      <c r="P15" s="255"/>
      <c r="Q15" s="255"/>
      <c r="R15" s="255"/>
      <c r="S15" s="229">
        <f t="shared" si="8"/>
        <v>0</v>
      </c>
      <c r="T15" s="255"/>
      <c r="U15" s="255"/>
      <c r="V15" s="255"/>
      <c r="W15" s="255"/>
      <c r="X15" s="255"/>
      <c r="Y15" s="255"/>
      <c r="Z15" s="230">
        <f t="shared" si="0"/>
        <v>0</v>
      </c>
      <c r="AA15" s="230">
        <f t="shared" si="1"/>
        <v>0</v>
      </c>
      <c r="AB15" s="230">
        <f t="shared" si="2"/>
        <v>0</v>
      </c>
      <c r="AC15" s="230">
        <f t="shared" si="3"/>
        <v>0</v>
      </c>
      <c r="AD15" s="230">
        <f t="shared" si="4"/>
        <v>0</v>
      </c>
      <c r="AE15" s="230">
        <f t="shared" si="5"/>
        <v>0</v>
      </c>
      <c r="AF15" s="230">
        <f t="shared" si="6"/>
        <v>0</v>
      </c>
      <c r="AG15" s="230">
        <f t="shared" si="9"/>
        <v>0</v>
      </c>
    </row>
    <row r="16" spans="1:35">
      <c r="A16" t="str">
        <f>IF(ABS(H16)&gt;0,基础信息!$B$1,"")</f>
        <v/>
      </c>
      <c r="B16" s="255"/>
      <c r="C16" s="276"/>
      <c r="D16" s="255"/>
      <c r="E16" s="276"/>
      <c r="F16" s="276"/>
      <c r="G16" s="276"/>
      <c r="H16" s="229">
        <f t="shared" si="7"/>
        <v>0</v>
      </c>
      <c r="I16" s="255"/>
      <c r="J16" s="255"/>
      <c r="K16" s="255"/>
      <c r="L16" s="255"/>
      <c r="M16" s="255"/>
      <c r="N16" s="255"/>
      <c r="O16" s="255"/>
      <c r="P16" s="255"/>
      <c r="Q16" s="255"/>
      <c r="R16" s="255"/>
      <c r="S16" s="229">
        <f t="shared" si="8"/>
        <v>0</v>
      </c>
      <c r="T16" s="255"/>
      <c r="U16" s="255"/>
      <c r="V16" s="255"/>
      <c r="W16" s="255"/>
      <c r="X16" s="255"/>
      <c r="Y16" s="255"/>
      <c r="Z16" s="230">
        <f t="shared" si="0"/>
        <v>0</v>
      </c>
      <c r="AA16" s="230">
        <f t="shared" si="1"/>
        <v>0</v>
      </c>
      <c r="AB16" s="230">
        <f t="shared" si="2"/>
        <v>0</v>
      </c>
      <c r="AC16" s="230">
        <f t="shared" si="3"/>
        <v>0</v>
      </c>
      <c r="AD16" s="230">
        <f t="shared" si="4"/>
        <v>0</v>
      </c>
      <c r="AE16" s="230">
        <f t="shared" si="5"/>
        <v>0</v>
      </c>
      <c r="AF16" s="230">
        <f t="shared" si="6"/>
        <v>0</v>
      </c>
      <c r="AG16" s="230">
        <f t="shared" si="9"/>
        <v>0</v>
      </c>
    </row>
    <row r="17" spans="1:33">
      <c r="A17" t="str">
        <f>IF(ABS(H17)&gt;0,基础信息!$B$1,"")</f>
        <v/>
      </c>
      <c r="B17" s="255"/>
      <c r="C17" s="276"/>
      <c r="D17" s="255"/>
      <c r="E17" s="276"/>
      <c r="F17" s="276"/>
      <c r="G17" s="276"/>
      <c r="H17" s="229">
        <f t="shared" si="7"/>
        <v>0</v>
      </c>
      <c r="I17" s="255"/>
      <c r="J17" s="255"/>
      <c r="K17" s="255"/>
      <c r="L17" s="255"/>
      <c r="M17" s="255"/>
      <c r="N17" s="255"/>
      <c r="O17" s="255"/>
      <c r="P17" s="255"/>
      <c r="Q17" s="255"/>
      <c r="R17" s="255"/>
      <c r="S17" s="229">
        <f t="shared" si="8"/>
        <v>0</v>
      </c>
      <c r="T17" s="255"/>
      <c r="U17" s="255"/>
      <c r="V17" s="255"/>
      <c r="W17" s="255"/>
      <c r="X17" s="255"/>
      <c r="Y17" s="255"/>
      <c r="Z17" s="230">
        <f t="shared" si="0"/>
        <v>0</v>
      </c>
      <c r="AA17" s="230">
        <f t="shared" si="1"/>
        <v>0</v>
      </c>
      <c r="AB17" s="230">
        <f t="shared" si="2"/>
        <v>0</v>
      </c>
      <c r="AC17" s="230">
        <f t="shared" si="3"/>
        <v>0</v>
      </c>
      <c r="AD17" s="230">
        <f t="shared" si="4"/>
        <v>0</v>
      </c>
      <c r="AE17" s="230">
        <f t="shared" si="5"/>
        <v>0</v>
      </c>
      <c r="AF17" s="230">
        <f t="shared" si="6"/>
        <v>0</v>
      </c>
      <c r="AG17" s="230">
        <f t="shared" si="9"/>
        <v>0</v>
      </c>
    </row>
    <row r="18" spans="1:33">
      <c r="A18" t="str">
        <f>IF(ABS(H18)&gt;0,基础信息!$B$1,"")</f>
        <v/>
      </c>
      <c r="C18" s="256"/>
      <c r="E18" s="256"/>
      <c r="H18" s="229">
        <f t="shared" si="7"/>
        <v>0</v>
      </c>
      <c r="S18" s="229">
        <f t="shared" si="8"/>
        <v>0</v>
      </c>
      <c r="Z18" s="230">
        <f t="shared" si="0"/>
        <v>0</v>
      </c>
      <c r="AA18" s="230">
        <f t="shared" si="1"/>
        <v>0</v>
      </c>
      <c r="AB18" s="230">
        <f t="shared" si="2"/>
        <v>0</v>
      </c>
      <c r="AC18" s="230">
        <f t="shared" si="3"/>
        <v>0</v>
      </c>
      <c r="AD18" s="230">
        <f t="shared" si="4"/>
        <v>0</v>
      </c>
      <c r="AE18" s="230">
        <f t="shared" si="5"/>
        <v>0</v>
      </c>
      <c r="AF18" s="230">
        <f t="shared" si="6"/>
        <v>0</v>
      </c>
      <c r="AG18" s="230">
        <f t="shared" si="9"/>
        <v>0</v>
      </c>
    </row>
    <row r="19" spans="1:33">
      <c r="A19" t="str">
        <f>IF(ABS(H19)&gt;0,基础信息!$B$1,"")</f>
        <v/>
      </c>
      <c r="C19" s="256"/>
      <c r="E19" s="256"/>
      <c r="H19" s="229">
        <f t="shared" si="7"/>
        <v>0</v>
      </c>
      <c r="S19" s="229">
        <f t="shared" si="8"/>
        <v>0</v>
      </c>
      <c r="Z19" s="230">
        <f t="shared" si="0"/>
        <v>0</v>
      </c>
      <c r="AA19" s="230">
        <f t="shared" si="1"/>
        <v>0</v>
      </c>
      <c r="AB19" s="230">
        <f t="shared" si="2"/>
        <v>0</v>
      </c>
      <c r="AC19" s="230">
        <f t="shared" si="3"/>
        <v>0</v>
      </c>
      <c r="AD19" s="230">
        <f t="shared" si="4"/>
        <v>0</v>
      </c>
      <c r="AE19" s="230">
        <f t="shared" si="5"/>
        <v>0</v>
      </c>
      <c r="AF19" s="230">
        <f t="shared" si="6"/>
        <v>0</v>
      </c>
      <c r="AG19" s="230">
        <f t="shared" si="9"/>
        <v>0</v>
      </c>
    </row>
    <row r="20" spans="1:33">
      <c r="A20" t="str">
        <f>IF(ABS(H20)&gt;0,基础信息!$B$1,"")</f>
        <v/>
      </c>
      <c r="C20" s="256"/>
      <c r="E20" s="256"/>
      <c r="H20" s="229">
        <f t="shared" si="7"/>
        <v>0</v>
      </c>
      <c r="S20" s="229">
        <f t="shared" si="8"/>
        <v>0</v>
      </c>
      <c r="Z20" s="230">
        <f t="shared" si="0"/>
        <v>0</v>
      </c>
      <c r="AA20" s="230">
        <f t="shared" si="1"/>
        <v>0</v>
      </c>
      <c r="AB20" s="230">
        <f t="shared" si="2"/>
        <v>0</v>
      </c>
      <c r="AC20" s="230">
        <f t="shared" si="3"/>
        <v>0</v>
      </c>
      <c r="AD20" s="230">
        <f t="shared" si="4"/>
        <v>0</v>
      </c>
      <c r="AE20" s="230">
        <f t="shared" si="5"/>
        <v>0</v>
      </c>
      <c r="AF20" s="230">
        <f t="shared" si="6"/>
        <v>0</v>
      </c>
      <c r="AG20" s="230">
        <f t="shared" si="9"/>
        <v>0</v>
      </c>
    </row>
    <row r="21" spans="1:33">
      <c r="A21" t="str">
        <f>IF(ABS(H21)&gt;0,基础信息!$B$1,"")</f>
        <v/>
      </c>
      <c r="C21" s="256"/>
      <c r="E21" s="256"/>
      <c r="H21" s="229">
        <f t="shared" si="7"/>
        <v>0</v>
      </c>
      <c r="S21" s="229">
        <f t="shared" si="8"/>
        <v>0</v>
      </c>
      <c r="Z21" s="230">
        <f t="shared" si="0"/>
        <v>0</v>
      </c>
      <c r="AA21" s="230">
        <f t="shared" si="1"/>
        <v>0</v>
      </c>
      <c r="AB21" s="230">
        <f t="shared" si="2"/>
        <v>0</v>
      </c>
      <c r="AC21" s="230">
        <f t="shared" si="3"/>
        <v>0</v>
      </c>
      <c r="AD21" s="230">
        <f t="shared" si="4"/>
        <v>0</v>
      </c>
      <c r="AE21" s="230">
        <f t="shared" si="5"/>
        <v>0</v>
      </c>
      <c r="AF21" s="230">
        <f t="shared" si="6"/>
        <v>0</v>
      </c>
      <c r="AG21" s="230">
        <f t="shared" si="9"/>
        <v>0</v>
      </c>
    </row>
    <row r="22" spans="1:33">
      <c r="A22" t="str">
        <f>IF(ABS(H22)&gt;0,基础信息!$B$1,"")</f>
        <v/>
      </c>
      <c r="C22" s="256"/>
      <c r="E22" s="256"/>
      <c r="H22" s="229">
        <f t="shared" si="7"/>
        <v>0</v>
      </c>
      <c r="S22" s="229">
        <f t="shared" si="8"/>
        <v>0</v>
      </c>
      <c r="Z22" s="230">
        <f t="shared" si="0"/>
        <v>0</v>
      </c>
      <c r="AA22" s="230">
        <f t="shared" si="1"/>
        <v>0</v>
      </c>
      <c r="AB22" s="230">
        <f t="shared" si="2"/>
        <v>0</v>
      </c>
      <c r="AC22" s="230">
        <f t="shared" si="3"/>
        <v>0</v>
      </c>
      <c r="AD22" s="230">
        <f t="shared" si="4"/>
        <v>0</v>
      </c>
      <c r="AE22" s="230">
        <f t="shared" si="5"/>
        <v>0</v>
      </c>
      <c r="AF22" s="230">
        <f t="shared" si="6"/>
        <v>0</v>
      </c>
      <c r="AG22" s="230">
        <f t="shared" si="9"/>
        <v>0</v>
      </c>
    </row>
    <row r="23" spans="1:33">
      <c r="A23" t="str">
        <f>IF(ABS(H23)&gt;0,基础信息!$B$1,"")</f>
        <v/>
      </c>
      <c r="C23" s="256"/>
      <c r="E23" s="256"/>
      <c r="H23" s="229">
        <f t="shared" si="7"/>
        <v>0</v>
      </c>
      <c r="S23" s="229">
        <f t="shared" si="8"/>
        <v>0</v>
      </c>
      <c r="Z23" s="230">
        <f t="shared" si="0"/>
        <v>0</v>
      </c>
      <c r="AA23" s="230">
        <f t="shared" si="1"/>
        <v>0</v>
      </c>
      <c r="AB23" s="230">
        <f t="shared" si="2"/>
        <v>0</v>
      </c>
      <c r="AC23" s="230">
        <f t="shared" si="3"/>
        <v>0</v>
      </c>
      <c r="AD23" s="230">
        <f t="shared" si="4"/>
        <v>0</v>
      </c>
      <c r="AE23" s="230">
        <f t="shared" si="5"/>
        <v>0</v>
      </c>
      <c r="AF23" s="230">
        <f t="shared" si="6"/>
        <v>0</v>
      </c>
      <c r="AG23" s="230">
        <f t="shared" si="9"/>
        <v>0</v>
      </c>
    </row>
    <row r="24" spans="1:33">
      <c r="A24" t="str">
        <f>IF(ABS(H24)&gt;0,基础信息!$B$1,"")</f>
        <v/>
      </c>
      <c r="C24" s="256"/>
      <c r="E24" s="256"/>
      <c r="H24" s="229">
        <f t="shared" si="7"/>
        <v>0</v>
      </c>
      <c r="S24" s="229">
        <f t="shared" si="8"/>
        <v>0</v>
      </c>
      <c r="Z24" s="230">
        <f t="shared" si="0"/>
        <v>0</v>
      </c>
      <c r="AA24" s="230">
        <f t="shared" si="1"/>
        <v>0</v>
      </c>
      <c r="AB24" s="230">
        <f t="shared" si="2"/>
        <v>0</v>
      </c>
      <c r="AC24" s="230">
        <f t="shared" si="3"/>
        <v>0</v>
      </c>
      <c r="AD24" s="230">
        <f t="shared" si="4"/>
        <v>0</v>
      </c>
      <c r="AE24" s="230">
        <f t="shared" si="5"/>
        <v>0</v>
      </c>
      <c r="AF24" s="230">
        <f t="shared" si="6"/>
        <v>0</v>
      </c>
      <c r="AG24" s="230">
        <f t="shared" si="9"/>
        <v>0</v>
      </c>
    </row>
    <row r="25" spans="1:33">
      <c r="A25" t="str">
        <f>IF(ABS(H25)&gt;0,基础信息!$B$1,"")</f>
        <v/>
      </c>
      <c r="C25" s="256"/>
      <c r="E25" s="256"/>
      <c r="H25" s="229">
        <f t="shared" si="7"/>
        <v>0</v>
      </c>
      <c r="S25" s="229">
        <f t="shared" si="8"/>
        <v>0</v>
      </c>
      <c r="Z25" s="230">
        <f t="shared" si="0"/>
        <v>0</v>
      </c>
      <c r="AA25" s="230">
        <f t="shared" si="1"/>
        <v>0</v>
      </c>
      <c r="AB25" s="230">
        <f t="shared" si="2"/>
        <v>0</v>
      </c>
      <c r="AC25" s="230">
        <f t="shared" si="3"/>
        <v>0</v>
      </c>
      <c r="AD25" s="230">
        <f t="shared" si="4"/>
        <v>0</v>
      </c>
      <c r="AE25" s="230">
        <f t="shared" si="5"/>
        <v>0</v>
      </c>
      <c r="AF25" s="230">
        <f t="shared" si="6"/>
        <v>0</v>
      </c>
      <c r="AG25" s="230">
        <f t="shared" si="9"/>
        <v>0</v>
      </c>
    </row>
    <row r="26" spans="1:33">
      <c r="A26" t="str">
        <f>IF(ABS(H26)&gt;0,基础信息!$B$1,"")</f>
        <v/>
      </c>
      <c r="C26" s="256"/>
      <c r="E26" s="256"/>
      <c r="H26" s="229">
        <f t="shared" ref="H26:H35" si="10">SUM(I26:N26)</f>
        <v>0</v>
      </c>
      <c r="S26" s="229">
        <f t="shared" si="8"/>
        <v>0</v>
      </c>
    </row>
    <row r="27" spans="1:33">
      <c r="A27" t="str">
        <f>IF(ABS(H27)&gt;0,基础信息!$B$1,"")</f>
        <v/>
      </c>
      <c r="C27" s="256"/>
      <c r="E27" s="256"/>
      <c r="H27" s="229">
        <f t="shared" si="10"/>
        <v>0</v>
      </c>
      <c r="S27" s="229">
        <f t="shared" si="8"/>
        <v>0</v>
      </c>
    </row>
    <row r="28" spans="1:33">
      <c r="A28" t="str">
        <f>IF(ABS(H28)&gt;0,基础信息!$B$1,"")</f>
        <v/>
      </c>
      <c r="C28" s="256"/>
      <c r="E28" s="256"/>
      <c r="H28" s="229">
        <f t="shared" si="10"/>
        <v>0</v>
      </c>
      <c r="S28" s="229">
        <f t="shared" si="8"/>
        <v>0</v>
      </c>
    </row>
    <row r="29" spans="1:33">
      <c r="A29" t="str">
        <f>IF(ABS(H29)&gt;0,基础信息!$B$1,"")</f>
        <v/>
      </c>
      <c r="C29" s="256"/>
      <c r="E29" s="256"/>
      <c r="H29" s="229">
        <f t="shared" si="10"/>
        <v>0</v>
      </c>
      <c r="S29" s="229">
        <f t="shared" si="8"/>
        <v>0</v>
      </c>
    </row>
    <row r="30" spans="1:33">
      <c r="A30" t="str">
        <f>IF(ABS(H30)&gt;0,基础信息!$B$1,"")</f>
        <v/>
      </c>
      <c r="C30" s="256"/>
      <c r="E30" s="256"/>
      <c r="H30" s="229">
        <f t="shared" si="10"/>
        <v>0</v>
      </c>
      <c r="S30" s="229">
        <f t="shared" si="8"/>
        <v>0</v>
      </c>
    </row>
    <row r="31" spans="1:33">
      <c r="A31" t="str">
        <f>IF(ABS(H31)&gt;0,基础信息!$B$1,"")</f>
        <v/>
      </c>
      <c r="C31" s="256"/>
      <c r="E31" s="256"/>
      <c r="H31" s="229">
        <f t="shared" si="10"/>
        <v>0</v>
      </c>
      <c r="S31" s="229">
        <f t="shared" si="8"/>
        <v>0</v>
      </c>
    </row>
    <row r="32" spans="1:33">
      <c r="A32" t="str">
        <f>IF(ABS(H32)&gt;0,基础信息!$B$1,"")</f>
        <v/>
      </c>
      <c r="C32" s="256"/>
      <c r="E32" s="256"/>
      <c r="H32" s="229">
        <f t="shared" si="10"/>
        <v>0</v>
      </c>
      <c r="S32" s="229">
        <f t="shared" si="8"/>
        <v>0</v>
      </c>
    </row>
    <row r="33" spans="1:19">
      <c r="A33" t="str">
        <f>IF(ABS(H33)&gt;0,基础信息!$B$1,"")</f>
        <v/>
      </c>
      <c r="C33" s="256"/>
      <c r="E33" s="256"/>
      <c r="H33" s="229">
        <f t="shared" si="10"/>
        <v>0</v>
      </c>
      <c r="S33" s="229">
        <f t="shared" si="8"/>
        <v>0</v>
      </c>
    </row>
    <row r="34" spans="1:19">
      <c r="A34" t="str">
        <f>IF(ABS(H34)&gt;0,基础信息!$B$1,"")</f>
        <v/>
      </c>
      <c r="C34" s="256"/>
      <c r="E34" s="256"/>
      <c r="H34" s="229">
        <f t="shared" si="10"/>
        <v>0</v>
      </c>
      <c r="S34" s="229">
        <f t="shared" si="8"/>
        <v>0</v>
      </c>
    </row>
    <row r="35" spans="1:19">
      <c r="A35" t="str">
        <f>IF(ABS(H35)&gt;0,基础信息!$B$1,"")</f>
        <v/>
      </c>
      <c r="C35" s="256"/>
      <c r="E35" s="256"/>
      <c r="H35" s="229">
        <f t="shared" si="10"/>
        <v>0</v>
      </c>
      <c r="S35" s="229">
        <f t="shared" si="8"/>
        <v>0</v>
      </c>
    </row>
    <row r="36" spans="1:19">
      <c r="A36" t="str">
        <f>IF(ABS(H36)&gt;0,基础信息!$B$1,"")</f>
        <v/>
      </c>
      <c r="C36" s="256"/>
      <c r="E36" s="256"/>
    </row>
    <row r="37" spans="1:19">
      <c r="A37" t="str">
        <f>IF(ABS(H37)&gt;0,基础信息!$B$1,"")</f>
        <v/>
      </c>
      <c r="C37" s="256"/>
      <c r="E37" s="256"/>
    </row>
    <row r="38" spans="1:19">
      <c r="A38" t="str">
        <f>IF(ABS(H38)&gt;0,基础信息!$B$1,"")</f>
        <v/>
      </c>
      <c r="C38" s="256"/>
      <c r="E38" s="256"/>
    </row>
    <row r="39" spans="1:19">
      <c r="A39" t="str">
        <f>IF(ABS(H39)&gt;0,基础信息!$B$1,"")</f>
        <v/>
      </c>
      <c r="E39" s="256"/>
    </row>
    <row r="40" spans="1:19">
      <c r="A40" t="str">
        <f>IF(ABS(H40)&gt;0,基础信息!$B$1,"")</f>
        <v/>
      </c>
      <c r="E40" s="256"/>
    </row>
    <row r="41" spans="1:19">
      <c r="A41" t="str">
        <f>IF(ABS(H41)&gt;0,基础信息!$B$1,"")</f>
        <v/>
      </c>
      <c r="E41" s="256"/>
    </row>
    <row r="42" spans="1:19">
      <c r="A42" t="str">
        <f>IF(ABS(H42)&gt;0,基础信息!$B$1,"")</f>
        <v/>
      </c>
      <c r="E42" s="256"/>
    </row>
    <row r="43" spans="1:19">
      <c r="A43" t="str">
        <f>IF(ABS(H43)&gt;0,基础信息!$B$1,"")</f>
        <v/>
      </c>
      <c r="E43" s="256"/>
    </row>
    <row r="44" spans="1:19">
      <c r="A44" t="str">
        <f>IF(ABS(H44)&gt;0,基础信息!$B$1,"")</f>
        <v/>
      </c>
      <c r="E44" s="256"/>
    </row>
    <row r="45" spans="1:19">
      <c r="A45" t="str">
        <f>IF(ABS(H45)&gt;0,基础信息!$B$1,"")</f>
        <v/>
      </c>
      <c r="E45" s="256"/>
    </row>
    <row r="46" spans="1:19">
      <c r="A46" t="str">
        <f>IF(ABS(H46)&gt;0,基础信息!$B$1,"")</f>
        <v/>
      </c>
      <c r="E46" s="256"/>
    </row>
    <row r="47" spans="1:19">
      <c r="A47" t="str">
        <f>IF(ABS(H47)&gt;0,基础信息!$B$1,"")</f>
        <v/>
      </c>
      <c r="E47" s="256"/>
    </row>
    <row r="48" spans="1:19">
      <c r="A48" t="str">
        <f>IF(ABS(H48)&gt;0,基础信息!$B$1,"")</f>
        <v/>
      </c>
      <c r="E48" s="256"/>
    </row>
    <row r="49" spans="1:5">
      <c r="A49" t="str">
        <f>IF(ABS(H49)&gt;0,基础信息!$B$1,"")</f>
        <v/>
      </c>
      <c r="E49" s="256"/>
    </row>
    <row r="50" spans="1:5">
      <c r="A50" t="str">
        <f>IF(ABS(H50)&gt;0,基础信息!$B$1,"")</f>
        <v/>
      </c>
      <c r="E50" s="256"/>
    </row>
    <row r="51" spans="1:5">
      <c r="A51" t="str">
        <f>IF(ABS(H51)&gt;0,基础信息!$B$1,"")</f>
        <v/>
      </c>
      <c r="E51" s="256"/>
    </row>
    <row r="52" spans="1:5">
      <c r="A52" t="str">
        <f>IF(ABS(H52)&gt;0,基础信息!$B$1,"")</f>
        <v/>
      </c>
      <c r="E52" s="256"/>
    </row>
    <row r="53" spans="1:5">
      <c r="A53" t="str">
        <f>IF(ABS(H53)&gt;0,基础信息!$B$1,"")</f>
        <v/>
      </c>
      <c r="E53" s="256"/>
    </row>
    <row r="54" spans="1:5">
      <c r="A54" t="str">
        <f>IF(ABS(H54)&gt;0,基础信息!$B$1,"")</f>
        <v/>
      </c>
      <c r="E54" s="256"/>
    </row>
    <row r="55" spans="1:5">
      <c r="A55" t="str">
        <f>IF(ABS(H55)&gt;0,基础信息!$B$1,"")</f>
        <v/>
      </c>
      <c r="E55" s="256"/>
    </row>
    <row r="56" spans="1:5">
      <c r="A56" t="str">
        <f>IF(ABS(H56)&gt;0,基础信息!$B$1,"")</f>
        <v/>
      </c>
      <c r="E56" s="256"/>
    </row>
    <row r="57" spans="1:5">
      <c r="A57" t="str">
        <f>IF(ABS(H57)&gt;0,基础信息!$B$1,"")</f>
        <v/>
      </c>
      <c r="E57" s="256"/>
    </row>
    <row r="58" spans="1:5">
      <c r="A58" t="str">
        <f>IF(ABS(H58)&gt;0,基础信息!$B$1,"")</f>
        <v/>
      </c>
      <c r="E58" s="256"/>
    </row>
    <row r="59" spans="1:5">
      <c r="A59" t="str">
        <f>IF(ABS(H59)&gt;0,基础信息!$B$1,"")</f>
        <v/>
      </c>
      <c r="E59" s="256"/>
    </row>
    <row r="60" spans="1:5">
      <c r="A60" t="str">
        <f>IF(ABS(H60)&gt;0,基础信息!$B$1,"")</f>
        <v/>
      </c>
      <c r="E60" s="256"/>
    </row>
    <row r="61" spans="1:5">
      <c r="A61" t="str">
        <f>IF(ABS(H61)&gt;0,基础信息!$B$1,"")</f>
        <v/>
      </c>
      <c r="E61" s="256"/>
    </row>
    <row r="62" spans="1:5">
      <c r="A62" t="str">
        <f>IF(ABS(H62)&gt;0,基础信息!$B$1,"")</f>
        <v/>
      </c>
      <c r="E62" s="256"/>
    </row>
    <row r="63" spans="1:5">
      <c r="A63" t="str">
        <f>IF(ABS(H63)&gt;0,基础信息!$B$1,"")</f>
        <v/>
      </c>
      <c r="E63" s="256"/>
    </row>
    <row r="64" spans="1:5">
      <c r="A64" t="str">
        <f>IF(ABS(H64)&gt;0,基础信息!$B$1,"")</f>
        <v/>
      </c>
      <c r="E64" s="256"/>
    </row>
    <row r="65" spans="1:5">
      <c r="A65" t="str">
        <f>IF(ABS(H65)&gt;0,基础信息!$B$1,"")</f>
        <v/>
      </c>
      <c r="E65" s="256"/>
    </row>
    <row r="66" spans="1:5">
      <c r="A66" t="str">
        <f>IF(ABS(H66)&gt;0,基础信息!$B$1,"")</f>
        <v/>
      </c>
      <c r="E66" s="256"/>
    </row>
    <row r="67" spans="1:5">
      <c r="A67" t="str">
        <f>IF(ABS(H67)&gt;0,基础信息!$B$1,"")</f>
        <v/>
      </c>
      <c r="E67" s="256"/>
    </row>
    <row r="68" spans="1:5">
      <c r="A68" t="str">
        <f>IF(ABS(H68)&gt;0,基础信息!$B$1,"")</f>
        <v/>
      </c>
    </row>
    <row r="69" spans="1:5">
      <c r="A69" t="str">
        <f>IF(ABS(H69)&gt;0,基础信息!$B$1,"")</f>
        <v/>
      </c>
    </row>
    <row r="70" spans="1:5">
      <c r="A70" t="str">
        <f>IF(ABS(H70)&gt;0,基础信息!$B$1,"")</f>
        <v/>
      </c>
    </row>
    <row r="71" spans="1:5">
      <c r="A71" t="str">
        <f>IF(ABS(H71)&gt;0,基础信息!$B$1,"")</f>
        <v/>
      </c>
    </row>
    <row r="72" spans="1:5">
      <c r="A72" t="str">
        <f>IF(ABS(H72)&gt;0,基础信息!$B$1,"")</f>
        <v/>
      </c>
    </row>
    <row r="73" spans="1:5">
      <c r="A73" t="str">
        <f>IF(ABS(H73)&gt;0,基础信息!$B$1,"")</f>
        <v/>
      </c>
    </row>
    <row r="74" spans="1:5">
      <c r="A74" t="str">
        <f>IF(ABS(H74)&gt;0,基础信息!$B$1,"")</f>
        <v/>
      </c>
    </row>
    <row r="75" spans="1:5">
      <c r="A75" t="str">
        <f>IF(ABS(H75)&gt;0,基础信息!$B$1,"")</f>
        <v/>
      </c>
    </row>
    <row r="76" spans="1:5">
      <c r="A76" t="str">
        <f>IF(ABS(H76)&gt;0,基础信息!$B$1,"")</f>
        <v/>
      </c>
    </row>
    <row r="77" spans="1:5">
      <c r="A77" t="str">
        <f>IF(ABS(H77)&gt;0,基础信息!$B$1,"")</f>
        <v/>
      </c>
    </row>
    <row r="78" spans="1:5">
      <c r="A78" t="str">
        <f>IF(ABS(H78)&gt;0,基础信息!$B$1,"")</f>
        <v/>
      </c>
    </row>
    <row r="79" spans="1:5">
      <c r="A79" t="str">
        <f>IF(ABS(H79)&gt;0,基础信息!$B$1,"")</f>
        <v/>
      </c>
    </row>
    <row r="80" spans="1:5">
      <c r="A80" t="str">
        <f>IF(ABS(H80)&gt;0,基础信息!$B$1,"")</f>
        <v/>
      </c>
    </row>
    <row r="81" spans="1:1">
      <c r="A81" t="str">
        <f>IF(ABS(H81)&gt;0,基础信息!$B$1,"")</f>
        <v/>
      </c>
    </row>
    <row r="82" spans="1:1">
      <c r="A82" t="str">
        <f>IF(ABS(H82)&gt;0,基础信息!$B$1,"")</f>
        <v/>
      </c>
    </row>
    <row r="83" spans="1:1">
      <c r="A83" t="str">
        <f>IF(ABS(H83)&gt;0,基础信息!$B$1,"")</f>
        <v/>
      </c>
    </row>
    <row r="84" spans="1:1">
      <c r="A84" t="str">
        <f>IF(ABS(H84)&gt;0,基础信息!$B$1,"")</f>
        <v/>
      </c>
    </row>
    <row r="85" spans="1:1">
      <c r="A85" t="str">
        <f>IF(ABS(H85)&gt;0,基础信息!$B$1,"")</f>
        <v/>
      </c>
    </row>
    <row r="86" spans="1:1">
      <c r="A86" t="str">
        <f>IF(ABS(H86)&gt;0,基础信息!$B$1,"")</f>
        <v/>
      </c>
    </row>
    <row r="87" spans="1:1">
      <c r="A87" t="str">
        <f>IF(ABS(H87)&gt;0,基础信息!$B$1,"")</f>
        <v/>
      </c>
    </row>
    <row r="88" spans="1:1">
      <c r="A88" t="str">
        <f>IF(ABS(H88)&gt;0,基础信息!$B$1,"")</f>
        <v/>
      </c>
    </row>
    <row r="89" spans="1:1">
      <c r="A89" t="str">
        <f>IF(ABS(H89)&gt;0,基础信息!$B$1,"")</f>
        <v/>
      </c>
    </row>
    <row r="90" spans="1:1">
      <c r="A90" t="str">
        <f>IF(ABS(H90)&gt;0,基础信息!$B$1,"")</f>
        <v/>
      </c>
    </row>
    <row r="91" spans="1:1">
      <c r="A91" t="str">
        <f>IF(ABS(H91)&gt;0,基础信息!$B$1,"")</f>
        <v/>
      </c>
    </row>
    <row r="92" spans="1:1">
      <c r="A92" t="str">
        <f>IF(ABS(H92)&gt;0,基础信息!$B$1,"")</f>
        <v/>
      </c>
    </row>
    <row r="93" spans="1:1">
      <c r="A93" t="str">
        <f>IF(ABS(H93)&gt;0,基础信息!$B$1,"")</f>
        <v/>
      </c>
    </row>
    <row r="94" spans="1:1">
      <c r="A94" t="str">
        <f>IF(ABS(H94)&gt;0,基础信息!$B$1,"")</f>
        <v/>
      </c>
    </row>
    <row r="95" spans="1:1">
      <c r="A95" t="str">
        <f>IF(ABS(H95)&gt;0,基础信息!$B$1,"")</f>
        <v/>
      </c>
    </row>
    <row r="96" spans="1:1">
      <c r="A96" t="str">
        <f>IF(ABS(H96)&gt;0,基础信息!$B$1,"")</f>
        <v/>
      </c>
    </row>
    <row r="97" spans="1:1">
      <c r="A97" t="str">
        <f>IF(ABS(H97)&gt;0,基础信息!$B$1,"")</f>
        <v/>
      </c>
    </row>
    <row r="98" spans="1:1">
      <c r="A98" t="str">
        <f>IF(ABS(H98)&gt;0,基础信息!$B$1,"")</f>
        <v/>
      </c>
    </row>
    <row r="99" spans="1:1">
      <c r="A99" t="str">
        <f>IF(ABS(H99)&gt;0,基础信息!$B$1,"")</f>
        <v/>
      </c>
    </row>
    <row r="100" spans="1:1">
      <c r="A100" t="str">
        <f>IF(ABS(H100)&gt;0,基础信息!$B$1,"")</f>
        <v/>
      </c>
    </row>
    <row r="101" spans="1:1">
      <c r="A101" t="str">
        <f>IF(ABS(H101)&gt;0,基础信息!$B$1,"")</f>
        <v/>
      </c>
    </row>
    <row r="102" spans="1:1">
      <c r="A102" t="str">
        <f>IF(ABS(H102)&gt;0,基础信息!$B$1,"")</f>
        <v/>
      </c>
    </row>
    <row r="103" spans="1:1">
      <c r="A103" t="str">
        <f>IF(ABS(H103)&gt;0,基础信息!$B$1,"")</f>
        <v/>
      </c>
    </row>
    <row r="104" spans="1:1">
      <c r="A104" t="str">
        <f>IF(ABS(H104)&gt;0,基础信息!$B$1,"")</f>
        <v/>
      </c>
    </row>
    <row r="105" spans="1:1">
      <c r="A105" t="str">
        <f>IF(ABS(H105)&gt;0,基础信息!$B$1,"")</f>
        <v/>
      </c>
    </row>
    <row r="106" spans="1:1">
      <c r="A106" t="str">
        <f>IF(ABS(H106)&gt;0,基础信息!$B$1,"")</f>
        <v/>
      </c>
    </row>
    <row r="107" spans="1:1">
      <c r="A107" t="str">
        <f>IF(ABS(H107)&gt;0,基础信息!$B$1,"")</f>
        <v/>
      </c>
    </row>
    <row r="108" spans="1:1">
      <c r="A108" t="str">
        <f>IF(ABS(H108)&gt;0,基础信息!$B$1,"")</f>
        <v/>
      </c>
    </row>
    <row r="109" spans="1:1">
      <c r="A109" t="str">
        <f>IF(ABS(H109)&gt;0,基础信息!$B$1,"")</f>
        <v/>
      </c>
    </row>
    <row r="110" spans="1:1">
      <c r="A110" t="str">
        <f>IF(ABS(H110)&gt;0,基础信息!$B$1,"")</f>
        <v/>
      </c>
    </row>
    <row r="111" spans="1:1">
      <c r="A111" t="str">
        <f>IF(ABS(H111)&gt;0,基础信息!$B$1,"")</f>
        <v/>
      </c>
    </row>
    <row r="112" spans="1:1">
      <c r="A112" t="str">
        <f>IF(ABS(H112)&gt;0,基础信息!$B$1,"")</f>
        <v/>
      </c>
    </row>
    <row r="113" spans="1:1">
      <c r="A113" t="str">
        <f>IF(ABS(H113)&gt;0,基础信息!$B$1,"")</f>
        <v/>
      </c>
    </row>
    <row r="114" spans="1:1">
      <c r="A114" t="str">
        <f>IF(ABS(H114)&gt;0,基础信息!$B$1,"")</f>
        <v/>
      </c>
    </row>
    <row r="115" spans="1:1">
      <c r="A115" t="str">
        <f>IF(ABS(H115)&gt;0,基础信息!$B$1,"")</f>
        <v/>
      </c>
    </row>
    <row r="116" spans="1:1">
      <c r="A116" t="str">
        <f>IF(ABS(H116)&gt;0,基础信息!$B$1,"")</f>
        <v/>
      </c>
    </row>
    <row r="117" spans="1:1">
      <c r="A117" t="str">
        <f>IF(ABS(H117)&gt;0,基础信息!$B$1,"")</f>
        <v/>
      </c>
    </row>
    <row r="118" spans="1:1">
      <c r="A118" t="str">
        <f>IF(ABS(H118)&gt;0,基础信息!$B$1,"")</f>
        <v/>
      </c>
    </row>
    <row r="119" spans="1:1">
      <c r="A119" t="str">
        <f>IF(ABS(H119)&gt;0,基础信息!$B$1,"")</f>
        <v/>
      </c>
    </row>
    <row r="120" spans="1:1">
      <c r="A120" t="str">
        <f>IF(ABS(H120)&gt;0,基础信息!$B$1,"")</f>
        <v/>
      </c>
    </row>
    <row r="121" spans="1:1">
      <c r="A121" t="str">
        <f>IF(ABS(H121)&gt;0,基础信息!$B$1,"")</f>
        <v/>
      </c>
    </row>
    <row r="122" spans="1:1">
      <c r="A122" t="str">
        <f>IF(ABS(H122)&gt;0,基础信息!$B$1,"")</f>
        <v/>
      </c>
    </row>
    <row r="123" spans="1:1">
      <c r="A123" t="str">
        <f>IF(ABS(H123)&gt;0,基础信息!$B$1,"")</f>
        <v/>
      </c>
    </row>
    <row r="124" spans="1:1">
      <c r="A124" t="str">
        <f>IF(ABS(H124)&gt;0,基础信息!$B$1,"")</f>
        <v/>
      </c>
    </row>
    <row r="125" spans="1:1">
      <c r="A125" t="str">
        <f>IF(ABS(H125)&gt;0,基础信息!$B$1,"")</f>
        <v/>
      </c>
    </row>
    <row r="126" spans="1:1">
      <c r="A126" t="str">
        <f>IF(ABS(H126)&gt;0,基础信息!$B$1,"")</f>
        <v/>
      </c>
    </row>
    <row r="127" spans="1:1">
      <c r="A127" t="str">
        <f>IF(ABS(H127)&gt;0,基础信息!$B$1,"")</f>
        <v/>
      </c>
    </row>
    <row r="128" spans="1:1">
      <c r="A128" t="str">
        <f>IF(ABS(H128)&gt;0,基础信息!$B$1,"")</f>
        <v/>
      </c>
    </row>
    <row r="129" spans="1:1">
      <c r="A129" t="str">
        <f>IF(ABS(H129)&gt;0,基础信息!$B$1,"")</f>
        <v/>
      </c>
    </row>
    <row r="130" spans="1:1">
      <c r="A130" t="str">
        <f>IF(ABS(H130)&gt;0,基础信息!$B$1,"")</f>
        <v/>
      </c>
    </row>
    <row r="131" spans="1:1">
      <c r="A131" t="str">
        <f>IF(ABS(H131)&gt;0,基础信息!$B$1,"")</f>
        <v/>
      </c>
    </row>
    <row r="132" spans="1:1">
      <c r="A132" t="str">
        <f>IF(ABS(H132)&gt;0,基础信息!$B$1,"")</f>
        <v/>
      </c>
    </row>
    <row r="133" spans="1:1">
      <c r="A133" t="str">
        <f>IF(ABS(H133)&gt;0,基础信息!$B$1,"")</f>
        <v/>
      </c>
    </row>
    <row r="134" spans="1:1">
      <c r="A134" t="str">
        <f>IF(ABS(H134)&gt;0,基础信息!$B$1,"")</f>
        <v/>
      </c>
    </row>
    <row r="135" spans="1:1">
      <c r="A135" t="str">
        <f>IF(ABS(H135)&gt;0,基础信息!$B$1,"")</f>
        <v/>
      </c>
    </row>
    <row r="136" spans="1:1">
      <c r="A136" t="str">
        <f>IF(ABS(H136)&gt;0,基础信息!$B$1,"")</f>
        <v/>
      </c>
    </row>
    <row r="137" spans="1:1">
      <c r="A137" t="str">
        <f>IF(ABS(H137)&gt;0,基础信息!$B$1,"")</f>
        <v/>
      </c>
    </row>
    <row r="138" spans="1:1">
      <c r="A138" t="str">
        <f>IF(ABS(H138)&gt;0,基础信息!$B$1,"")</f>
        <v/>
      </c>
    </row>
    <row r="139" spans="1:1">
      <c r="A139" t="str">
        <f>IF(ABS(H139)&gt;0,基础信息!$B$1,"")</f>
        <v/>
      </c>
    </row>
    <row r="140" spans="1:1">
      <c r="A140" t="str">
        <f>IF(ABS(H140)&gt;0,基础信息!$B$1,"")</f>
        <v/>
      </c>
    </row>
    <row r="141" spans="1:1">
      <c r="A141" t="str">
        <f>IF(ABS(H141)&gt;0,基础信息!$B$1,"")</f>
        <v/>
      </c>
    </row>
    <row r="142" spans="1:1">
      <c r="A142" t="str">
        <f>IF(ABS(H142)&gt;0,基础信息!$B$1,"")</f>
        <v/>
      </c>
    </row>
    <row r="143" spans="1:1">
      <c r="A143" t="str">
        <f>IF(ABS(H143)&gt;0,基础信息!$B$1,"")</f>
        <v/>
      </c>
    </row>
    <row r="144" spans="1:1">
      <c r="A144" t="str">
        <f>IF(ABS(H144)&gt;0,基础信息!$B$1,"")</f>
        <v/>
      </c>
    </row>
    <row r="145" spans="1:1">
      <c r="A145" t="str">
        <f>IF(ABS(H145)&gt;0,基础信息!$B$1,"")</f>
        <v/>
      </c>
    </row>
    <row r="146" spans="1:1">
      <c r="A146" t="str">
        <f>IF(ABS(H146)&gt;0,基础信息!$B$1,"")</f>
        <v/>
      </c>
    </row>
    <row r="147" spans="1:1">
      <c r="A147" t="str">
        <f>IF(ABS(H147)&gt;0,基础信息!$B$1,"")</f>
        <v/>
      </c>
    </row>
    <row r="148" spans="1:1">
      <c r="A148" t="str">
        <f>IF(ABS(H148)&gt;0,基础信息!$B$1,"")</f>
        <v/>
      </c>
    </row>
    <row r="149" spans="1:1">
      <c r="A149" t="str">
        <f>IF(ABS(H149)&gt;0,基础信息!$B$1,"")</f>
        <v/>
      </c>
    </row>
    <row r="150" spans="1:1">
      <c r="A150" t="str">
        <f>IF(ABS(H150)&gt;0,基础信息!$B$1,"")</f>
        <v/>
      </c>
    </row>
    <row r="151" spans="1:1">
      <c r="A151" t="str">
        <f>IF(ABS(H151)&gt;0,基础信息!$B$1,"")</f>
        <v/>
      </c>
    </row>
    <row r="152" spans="1:1">
      <c r="A152" t="str">
        <f>IF(ABS(H152)&gt;0,基础信息!$B$1,"")</f>
        <v/>
      </c>
    </row>
    <row r="153" spans="1:1">
      <c r="A153" t="str">
        <f>IF(ABS(H153)&gt;0,基础信息!$B$1,"")</f>
        <v/>
      </c>
    </row>
    <row r="154" spans="1:1">
      <c r="A154" t="str">
        <f>IF(ABS(H154)&gt;0,基础信息!$B$1,"")</f>
        <v/>
      </c>
    </row>
    <row r="155" spans="1:1">
      <c r="A155" t="str">
        <f>IF(ABS(H155)&gt;0,基础信息!$B$1,"")</f>
        <v/>
      </c>
    </row>
    <row r="156" spans="1:1">
      <c r="A156" t="str">
        <f>IF(ABS(H156)&gt;0,基础信息!$B$1,"")</f>
        <v/>
      </c>
    </row>
    <row r="157" spans="1:1">
      <c r="A157" t="str">
        <f>IF(ABS(H157)&gt;0,基础信息!$B$1,"")</f>
        <v/>
      </c>
    </row>
    <row r="158" spans="1:1">
      <c r="A158" t="str">
        <f>IF(ABS(H158)&gt;0,基础信息!$B$1,"")</f>
        <v/>
      </c>
    </row>
    <row r="159" spans="1:1">
      <c r="A159" t="str">
        <f>IF(ABS(H159)&gt;0,基础信息!$B$1,"")</f>
        <v/>
      </c>
    </row>
    <row r="160" spans="1:1">
      <c r="A160" t="str">
        <f>IF(ABS(H160)&gt;0,基础信息!$B$1,"")</f>
        <v/>
      </c>
    </row>
    <row r="161" spans="1:1">
      <c r="A161" t="str">
        <f>IF(ABS(H161)&gt;0,基础信息!$B$1,"")</f>
        <v/>
      </c>
    </row>
    <row r="162" spans="1:1">
      <c r="A162" t="str">
        <f>IF(ABS(H162)&gt;0,基础信息!$B$1,"")</f>
        <v/>
      </c>
    </row>
    <row r="163" spans="1:1">
      <c r="A163" t="str">
        <f>IF(ABS(H163)&gt;0,基础信息!$B$1,"")</f>
        <v/>
      </c>
    </row>
    <row r="164" spans="1:1">
      <c r="A164" t="str">
        <f>IF(ABS(H164)&gt;0,基础信息!$B$1,"")</f>
        <v/>
      </c>
    </row>
    <row r="165" spans="1:1">
      <c r="A165" t="str">
        <f>IF(ABS(H165)&gt;0,基础信息!$B$1,"")</f>
        <v/>
      </c>
    </row>
    <row r="166" spans="1:1">
      <c r="A166" t="str">
        <f>IF(ABS(H166)&gt;0,基础信息!$B$1,"")</f>
        <v/>
      </c>
    </row>
    <row r="167" spans="1:1">
      <c r="A167" t="str">
        <f>IF(ABS(H167)&gt;0,基础信息!$B$1,"")</f>
        <v/>
      </c>
    </row>
    <row r="168" spans="1:1">
      <c r="A168" t="str">
        <f>IF(ABS(H168)&gt;0,基础信息!$B$1,"")</f>
        <v/>
      </c>
    </row>
    <row r="169" spans="1:1">
      <c r="A169" t="str">
        <f>IF(ABS(H169)&gt;0,基础信息!$B$1,"")</f>
        <v/>
      </c>
    </row>
    <row r="170" spans="1:1">
      <c r="A170" t="str">
        <f>IF(ABS(H170)&gt;0,基础信息!$B$1,"")</f>
        <v/>
      </c>
    </row>
    <row r="171" spans="1:1">
      <c r="A171" t="str">
        <f>IF(ABS(H171)&gt;0,基础信息!$B$1,"")</f>
        <v/>
      </c>
    </row>
    <row r="172" spans="1:1">
      <c r="A172" t="str">
        <f>IF(ABS(H172)&gt;0,基础信息!$B$1,"")</f>
        <v/>
      </c>
    </row>
    <row r="173" spans="1:1">
      <c r="A173" t="str">
        <f>IF(ABS(H173)&gt;0,基础信息!$B$1,"")</f>
        <v/>
      </c>
    </row>
    <row r="174" spans="1:1">
      <c r="A174" t="str">
        <f>IF(ABS(H174)&gt;0,基础信息!$B$1,"")</f>
        <v/>
      </c>
    </row>
    <row r="175" spans="1:1">
      <c r="A175" t="str">
        <f>IF(ABS(H175)&gt;0,基础信息!$B$1,"")</f>
        <v/>
      </c>
    </row>
    <row r="176" spans="1:1">
      <c r="A176" t="str">
        <f>IF(ABS(H176)&gt;0,基础信息!$B$1,"")</f>
        <v/>
      </c>
    </row>
    <row r="177" spans="1:1">
      <c r="A177" t="str">
        <f>IF(ABS(H177)&gt;0,基础信息!$B$1,"")</f>
        <v/>
      </c>
    </row>
    <row r="178" spans="1:1">
      <c r="A178" t="str">
        <f>IF(ABS(H178)&gt;0,基础信息!$B$1,"")</f>
        <v/>
      </c>
    </row>
    <row r="179" spans="1:1">
      <c r="A179" t="str">
        <f>IF(ABS(H179)&gt;0,基础信息!$B$1,"")</f>
        <v/>
      </c>
    </row>
    <row r="180" spans="1:1">
      <c r="A180" t="str">
        <f>IF(ABS(H180)&gt;0,基础信息!$B$1,"")</f>
        <v/>
      </c>
    </row>
    <row r="181" spans="1:1">
      <c r="A181" t="str">
        <f>IF(ABS(H181)&gt;0,基础信息!$B$1,"")</f>
        <v/>
      </c>
    </row>
    <row r="182" spans="1:1">
      <c r="A182" t="str">
        <f>IF(ABS(H182)&gt;0,基础信息!$B$1,"")</f>
        <v/>
      </c>
    </row>
    <row r="183" spans="1:1">
      <c r="A183" t="str">
        <f>IF(ABS(H183)&gt;0,基础信息!$B$1,"")</f>
        <v/>
      </c>
    </row>
    <row r="184" spans="1:1">
      <c r="A184" t="str">
        <f>IF(ABS(H184)&gt;0,基础信息!$B$1,"")</f>
        <v/>
      </c>
    </row>
    <row r="185" spans="1:1">
      <c r="A185" t="str">
        <f>IF(ABS(H185)&gt;0,基础信息!$B$1,"")</f>
        <v/>
      </c>
    </row>
    <row r="186" spans="1:1">
      <c r="A186" t="str">
        <f>IF(ABS(H186)&gt;0,基础信息!$B$1,"")</f>
        <v/>
      </c>
    </row>
    <row r="187" spans="1:1">
      <c r="A187" t="str">
        <f>IF(ABS(H187)&gt;0,基础信息!$B$1,"")</f>
        <v/>
      </c>
    </row>
    <row r="188" spans="1:1">
      <c r="A188" t="str">
        <f>IF(ABS(H188)&gt;0,基础信息!$B$1,"")</f>
        <v/>
      </c>
    </row>
    <row r="189" spans="1:1">
      <c r="A189" t="str">
        <f>IF(ABS(H189)&gt;0,基础信息!$B$1,"")</f>
        <v/>
      </c>
    </row>
    <row r="190" spans="1:1">
      <c r="A190" t="str">
        <f>IF(ABS(H190)&gt;0,基础信息!$B$1,"")</f>
        <v/>
      </c>
    </row>
    <row r="191" spans="1:1">
      <c r="A191" t="str">
        <f>IF(ABS(H191)&gt;0,基础信息!$B$1,"")</f>
        <v/>
      </c>
    </row>
    <row r="192" spans="1:1">
      <c r="A192" t="str">
        <f>IF(ABS(H192)&gt;0,基础信息!$B$1,"")</f>
        <v/>
      </c>
    </row>
    <row r="193" spans="1:1">
      <c r="A193" t="str">
        <f>IF(ABS(H193)&gt;0,基础信息!$B$1,"")</f>
        <v/>
      </c>
    </row>
    <row r="194" spans="1:1">
      <c r="A194" t="str">
        <f>IF(ABS(H194)&gt;0,基础信息!$B$1,"")</f>
        <v/>
      </c>
    </row>
    <row r="195" spans="1:1">
      <c r="A195" t="str">
        <f>IF(ABS(H195)&gt;0,基础信息!$B$1,"")</f>
        <v/>
      </c>
    </row>
    <row r="196" spans="1:1">
      <c r="A196" t="str">
        <f>IF(ABS(H196)&gt;0,基础信息!$B$1,"")</f>
        <v/>
      </c>
    </row>
    <row r="197" spans="1:1">
      <c r="A197" t="str">
        <f>IF(ABS(H197)&gt;0,基础信息!$B$1,"")</f>
        <v/>
      </c>
    </row>
    <row r="198" spans="1:1">
      <c r="A198" t="str">
        <f>IF(ABS(H198)&gt;0,基础信息!$B$1,"")</f>
        <v/>
      </c>
    </row>
    <row r="199" spans="1:1">
      <c r="A199" t="str">
        <f>IF(ABS(H199)&gt;0,基础信息!$B$1,"")</f>
        <v/>
      </c>
    </row>
    <row r="200" spans="1:1">
      <c r="A200" t="str">
        <f>IF(ABS(H200)&gt;0,基础信息!$B$1,"")</f>
        <v/>
      </c>
    </row>
    <row r="201" spans="1:1">
      <c r="A201" t="str">
        <f>IF(ABS(H201)&gt;0,基础信息!$B$1,"")</f>
        <v/>
      </c>
    </row>
    <row r="202" spans="1:1">
      <c r="A202" t="str">
        <f>IF(ABS(H202)&gt;0,基础信息!$B$1,"")</f>
        <v/>
      </c>
    </row>
    <row r="203" spans="1:1">
      <c r="A203" t="str">
        <f>IF(ABS(H203)&gt;0,基础信息!$B$1,"")</f>
        <v/>
      </c>
    </row>
    <row r="204" spans="1:1">
      <c r="A204" t="str">
        <f>IF(ABS(H204)&gt;0,基础信息!$B$1,"")</f>
        <v/>
      </c>
    </row>
    <row r="205" spans="1:1">
      <c r="A205" t="str">
        <f>IF(ABS(H205)&gt;0,基础信息!$B$1,"")</f>
        <v/>
      </c>
    </row>
    <row r="206" spans="1:1">
      <c r="A206" t="str">
        <f>IF(ABS(H206)&gt;0,基础信息!$B$1,"")</f>
        <v/>
      </c>
    </row>
    <row r="207" spans="1:1">
      <c r="A207" t="str">
        <f>IF(ABS(H207)&gt;0,基础信息!$B$1,"")</f>
        <v/>
      </c>
    </row>
    <row r="208" spans="1:1">
      <c r="A208" t="str">
        <f>IF(ABS(H208)&gt;0,基础信息!$B$1,"")</f>
        <v/>
      </c>
    </row>
    <row r="209" spans="1:1">
      <c r="A209" t="str">
        <f>IF(ABS(H209)&gt;0,基础信息!$B$1,"")</f>
        <v/>
      </c>
    </row>
    <row r="210" spans="1:1">
      <c r="A210" t="str">
        <f>IF(ABS(H210)&gt;0,基础信息!$B$1,"")</f>
        <v/>
      </c>
    </row>
    <row r="211" spans="1:1">
      <c r="A211" t="str">
        <f>IF(ABS(H211)&gt;0,基础信息!$B$1,"")</f>
        <v/>
      </c>
    </row>
    <row r="212" spans="1:1">
      <c r="A212" t="str">
        <f>IF(ABS(H212)&gt;0,基础信息!$B$1,"")</f>
        <v/>
      </c>
    </row>
    <row r="213" spans="1:1">
      <c r="A213" t="str">
        <f>IF(ABS(H213)&gt;0,基础信息!$B$1,"")</f>
        <v/>
      </c>
    </row>
    <row r="214" spans="1:1">
      <c r="A214" t="str">
        <f>IF(ABS(H214)&gt;0,基础信息!$B$1,"")</f>
        <v/>
      </c>
    </row>
    <row r="215" spans="1:1">
      <c r="A215" t="str">
        <f>IF(ABS(H215)&gt;0,基础信息!$B$1,"")</f>
        <v/>
      </c>
    </row>
    <row r="216" spans="1:1">
      <c r="A216" t="str">
        <f>IF(ABS(H216)&gt;0,基础信息!$B$1,"")</f>
        <v/>
      </c>
    </row>
    <row r="217" spans="1:1">
      <c r="A217" t="str">
        <f>IF(ABS(H217)&gt;0,基础信息!$B$1,"")</f>
        <v/>
      </c>
    </row>
    <row r="218" spans="1:1">
      <c r="A218" t="str">
        <f>IF(ABS(H218)&gt;0,基础信息!$B$1,"")</f>
        <v/>
      </c>
    </row>
    <row r="219" spans="1:1">
      <c r="A219" t="str">
        <f>IF(ABS(H219)&gt;0,基础信息!$B$1,"")</f>
        <v/>
      </c>
    </row>
    <row r="220" spans="1:1">
      <c r="A220" t="str">
        <f>IF(ABS(H220)&gt;0,基础信息!$B$1,"")</f>
        <v/>
      </c>
    </row>
    <row r="221" spans="1:1">
      <c r="A221" t="str">
        <f>IF(ABS(H221)&gt;0,基础信息!$B$1,"")</f>
        <v/>
      </c>
    </row>
    <row r="222" spans="1:1">
      <c r="A222" t="str">
        <f>IF(ABS(H222)&gt;0,基础信息!$B$1,"")</f>
        <v/>
      </c>
    </row>
    <row r="223" spans="1:1">
      <c r="A223" t="str">
        <f>IF(ABS(H223)&gt;0,基础信息!$B$1,"")</f>
        <v/>
      </c>
    </row>
    <row r="224" spans="1:1">
      <c r="A224" t="str">
        <f>IF(ABS(H224)&gt;0,基础信息!$B$1,"")</f>
        <v/>
      </c>
    </row>
    <row r="225" spans="1:1">
      <c r="A225" t="str">
        <f>IF(ABS(H225)&gt;0,基础信息!$B$1,"")</f>
        <v/>
      </c>
    </row>
    <row r="226" spans="1:1">
      <c r="A226" t="str">
        <f>IF(ABS(H226)&gt;0,基础信息!$B$1,"")</f>
        <v/>
      </c>
    </row>
    <row r="227" spans="1:1">
      <c r="A227" t="str">
        <f>IF(ABS(H227)&gt;0,基础信息!$B$1,"")</f>
        <v/>
      </c>
    </row>
    <row r="228" spans="1:1">
      <c r="A228" t="str">
        <f>IF(ABS(H228)&gt;0,基础信息!$B$1,"")</f>
        <v/>
      </c>
    </row>
    <row r="229" spans="1:1">
      <c r="A229" t="str">
        <f>IF(ABS(H229)&gt;0,基础信息!$B$1,"")</f>
        <v/>
      </c>
    </row>
    <row r="230" spans="1:1">
      <c r="A230" t="str">
        <f>IF(ABS(H230)&gt;0,基础信息!$B$1,"")</f>
        <v/>
      </c>
    </row>
    <row r="231" spans="1:1">
      <c r="A231" t="str">
        <f>IF(ABS(H231)&gt;0,基础信息!$B$1,"")</f>
        <v/>
      </c>
    </row>
    <row r="232" spans="1:1">
      <c r="A232" t="str">
        <f>IF(ABS(H232)&gt;0,基础信息!$B$1,"")</f>
        <v/>
      </c>
    </row>
    <row r="233" spans="1:1">
      <c r="A233" t="str">
        <f>IF(ABS(H233)&gt;0,基础信息!$B$1,"")</f>
        <v/>
      </c>
    </row>
    <row r="234" spans="1:1">
      <c r="A234" t="str">
        <f>IF(ABS(H234)&gt;0,基础信息!$B$1,"")</f>
        <v/>
      </c>
    </row>
    <row r="235" spans="1:1">
      <c r="A235" t="str">
        <f>IF(ABS(H235)&gt;0,基础信息!$B$1,"")</f>
        <v/>
      </c>
    </row>
    <row r="236" spans="1:1">
      <c r="A236" t="str">
        <f>IF(ABS(H236)&gt;0,基础信息!$B$1,"")</f>
        <v/>
      </c>
    </row>
    <row r="237" spans="1:1">
      <c r="A237" t="str">
        <f>IF(ABS(H237)&gt;0,基础信息!$B$1,"")</f>
        <v/>
      </c>
    </row>
    <row r="238" spans="1:1">
      <c r="A238" t="str">
        <f>IF(ABS(H238)&gt;0,基础信息!$B$1,"")</f>
        <v/>
      </c>
    </row>
    <row r="239" spans="1:1">
      <c r="A239" t="str">
        <f>IF(ABS(H239)&gt;0,基础信息!$B$1,"")</f>
        <v/>
      </c>
    </row>
    <row r="240" spans="1:1">
      <c r="A240" t="str">
        <f>IF(ABS(H240)&gt;0,基础信息!$B$1,"")</f>
        <v/>
      </c>
    </row>
    <row r="241" spans="1:1">
      <c r="A241" t="str">
        <f>IF(ABS(H241)&gt;0,基础信息!$B$1,"")</f>
        <v/>
      </c>
    </row>
    <row r="242" spans="1:1">
      <c r="A242" t="str">
        <f>IF(ABS(H242)&gt;0,基础信息!$B$1,"")</f>
        <v/>
      </c>
    </row>
    <row r="243" spans="1:1">
      <c r="A243" t="str">
        <f>IF(ABS(H243)&gt;0,基础信息!$B$1,"")</f>
        <v/>
      </c>
    </row>
    <row r="244" spans="1:1">
      <c r="A244" t="str">
        <f>IF(ABS(H244)&gt;0,基础信息!$B$1,"")</f>
        <v/>
      </c>
    </row>
    <row r="245" spans="1:1">
      <c r="A245" t="str">
        <f>IF(ABS(H245)&gt;0,基础信息!$B$1,"")</f>
        <v/>
      </c>
    </row>
    <row r="246" spans="1:1">
      <c r="A246" t="str">
        <f>IF(ABS(H246)&gt;0,基础信息!$B$1,"")</f>
        <v/>
      </c>
    </row>
    <row r="247" spans="1:1">
      <c r="A247" t="str">
        <f>IF(ABS(H247)&gt;0,基础信息!$B$1,"")</f>
        <v/>
      </c>
    </row>
    <row r="248" spans="1:1">
      <c r="A248" t="str">
        <f>IF(ABS(H248)&gt;0,基础信息!$B$1,"")</f>
        <v/>
      </c>
    </row>
    <row r="249" spans="1:1">
      <c r="A249" t="str">
        <f>IF(ABS(H249)&gt;0,基础信息!$B$1,"")</f>
        <v/>
      </c>
    </row>
    <row r="250" spans="1:1">
      <c r="A250" t="str">
        <f>IF(ABS(H250)&gt;0,基础信息!$B$1,"")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EF5ECF5-7FF1-422A-B03E-7BDECA7D7D64}">
          <x14:formula1>
            <xm:f>分类表!#REF!</xm:f>
          </x14:formula1>
          <xm:sqref>C39:C85 E64:E128</xm:sqref>
        </x14:dataValidation>
        <x14:dataValidation type="list" allowBlank="1" showInputMessage="1" showErrorMessage="1" xr:uid="{FFAE3A93-7296-4170-91E4-54AF7471254B}">
          <x14:formula1>
            <xm:f>分类表!$12:$12</xm:f>
          </x14:formula1>
          <xm:sqref>F2:F157</xm:sqref>
        </x14:dataValidation>
        <x14:dataValidation type="list" allowBlank="1" showInputMessage="1" showErrorMessage="1" xr:uid="{2049EF70-71DE-4A9D-B062-F86804B713F9}">
          <x14:formula1>
            <xm:f>分类表!$9:$9</xm:f>
          </x14:formula1>
          <xm:sqref>G2:G133</xm:sqref>
        </x14:dataValidation>
        <x14:dataValidation type="list" allowBlank="1" showInputMessage="1" showErrorMessage="1" xr:uid="{569B328F-1311-4B67-80F9-B85D741D3D8E}">
          <x14:formula1>
            <xm:f>分类表!$14:$14</xm:f>
          </x14:formula1>
          <xm:sqref>E2:E63</xm:sqref>
        </x14:dataValidation>
        <x14:dataValidation type="list" allowBlank="1" showInputMessage="1" showErrorMessage="1" xr:uid="{FCCB0258-462A-4A3A-B348-3FE183F6D350}">
          <x14:formula1>
            <xm:f>分类表!$8:$8</xm:f>
          </x14:formula1>
          <xm:sqref>C2:C38</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codeName="Sheet131">
    <tabColor rgb="FFFFC000"/>
  </sheetPr>
  <dimension ref="A1:G12"/>
  <sheetViews>
    <sheetView workbookViewId="0">
      <selection activeCell="D20" sqref="D20"/>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28</v>
      </c>
      <c r="B1" s="18" t="s">
        <v>245</v>
      </c>
      <c r="C1" s="18" t="s">
        <v>317</v>
      </c>
      <c r="D1" s="18" t="s">
        <v>318</v>
      </c>
      <c r="E1" s="18" t="s">
        <v>246</v>
      </c>
      <c r="F1" s="18" t="s">
        <v>319</v>
      </c>
      <c r="G1" s="18" t="s">
        <v>320</v>
      </c>
    </row>
    <row r="2" spans="1:7">
      <c r="A2" s="137" t="s">
        <v>314</v>
      </c>
      <c r="B2" s="136">
        <f>ROUND(SUMIF(存货明细表!B:B,A2,存货明细表!C:C),2)</f>
        <v>0</v>
      </c>
      <c r="C2" s="136">
        <f>ROUND(SUMIF(存货明细表!B:B,A2,存货明细表!D:D),2)</f>
        <v>0</v>
      </c>
      <c r="D2" s="136">
        <f t="shared" ref="D2:D11" si="0">ROUND(B2-C2,2)</f>
        <v>0</v>
      </c>
      <c r="E2" s="138"/>
      <c r="F2" s="138"/>
      <c r="G2" s="1">
        <f t="shared" ref="G2:G11" si="1">ROUND(E2-F2,2)</f>
        <v>0</v>
      </c>
    </row>
    <row r="3" spans="1:7">
      <c r="A3" s="137" t="s">
        <v>901</v>
      </c>
      <c r="B3" s="136">
        <f>ROUND(SUMIF(存货明细表!B:B,A3,存货明细表!C:C),2)</f>
        <v>0</v>
      </c>
      <c r="C3" s="136">
        <f>ROUND(SUMIF(存货明细表!B:B,A3,存货明细表!D:D),2)</f>
        <v>0</v>
      </c>
      <c r="D3" s="136">
        <f t="shared" si="0"/>
        <v>0</v>
      </c>
      <c r="E3" s="138"/>
      <c r="F3" s="138"/>
      <c r="G3" s="1">
        <f t="shared" si="1"/>
        <v>0</v>
      </c>
    </row>
    <row r="4" spans="1:7">
      <c r="A4" s="137" t="s">
        <v>766</v>
      </c>
      <c r="B4" s="136">
        <f>ROUND(SUMIF(存货明细表!B:B,A4,存货明细表!C:C),2)</f>
        <v>0</v>
      </c>
      <c r="C4" s="136">
        <f>ROUND(SUMIF(存货明细表!B:B,A4,存货明细表!D:D),2)</f>
        <v>0</v>
      </c>
      <c r="D4" s="136">
        <f t="shared" si="0"/>
        <v>0</v>
      </c>
      <c r="E4" s="138"/>
      <c r="F4" s="138"/>
      <c r="G4" s="1">
        <f t="shared" si="1"/>
        <v>0</v>
      </c>
    </row>
    <row r="5" spans="1:7">
      <c r="A5" s="137" t="s">
        <v>323</v>
      </c>
      <c r="B5" s="136">
        <f>ROUND(SUMIF(存货明细表!B:B,A5,存货明细表!C:C),2)</f>
        <v>0</v>
      </c>
      <c r="C5" s="136">
        <f>ROUND(SUMIF(存货明细表!B:B,A5,存货明细表!D:D),2)</f>
        <v>0</v>
      </c>
      <c r="D5" s="136">
        <f t="shared" si="0"/>
        <v>0</v>
      </c>
      <c r="E5" s="138"/>
      <c r="F5" s="138"/>
      <c r="G5" s="1">
        <f t="shared" si="1"/>
        <v>0</v>
      </c>
    </row>
    <row r="6" spans="1:7">
      <c r="A6" s="137" t="s">
        <v>326</v>
      </c>
      <c r="B6" s="136">
        <f>ROUND(SUMIF(存货明细表!B:B,A6,存货明细表!C:C),2)</f>
        <v>0</v>
      </c>
      <c r="C6" s="136">
        <f>ROUND(SUMIF(存货明细表!B:B,A6,存货明细表!D:D),2)</f>
        <v>0</v>
      </c>
      <c r="D6" s="136">
        <f t="shared" si="0"/>
        <v>0</v>
      </c>
      <c r="E6" s="138"/>
      <c r="F6" s="138"/>
      <c r="G6" s="1">
        <f t="shared" si="1"/>
        <v>0</v>
      </c>
    </row>
    <row r="7" spans="1:7">
      <c r="A7" s="137" t="s">
        <v>328</v>
      </c>
      <c r="B7" s="136">
        <f>ROUND(SUMIF(存货明细表!B:B,A7,存货明细表!C:C),2)</f>
        <v>0</v>
      </c>
      <c r="C7" s="136">
        <f>ROUND(SUMIF(存货明细表!B:B,A7,存货明细表!D:D),2)</f>
        <v>0</v>
      </c>
      <c r="D7" s="136">
        <f t="shared" si="0"/>
        <v>0</v>
      </c>
      <c r="E7" s="138"/>
      <c r="F7" s="138"/>
      <c r="G7" s="1">
        <f t="shared" si="1"/>
        <v>0</v>
      </c>
    </row>
    <row r="8" spans="1:7">
      <c r="A8" s="137" t="s">
        <v>325</v>
      </c>
      <c r="B8" s="136">
        <f>ROUND(SUMIF(存货明细表!B:B,A8,存货明细表!C:C),2)</f>
        <v>0</v>
      </c>
      <c r="C8" s="136">
        <f>ROUND(SUMIF(存货明细表!B:B,A8,存货明细表!D:D),2)</f>
        <v>0</v>
      </c>
      <c r="D8" s="136">
        <f t="shared" si="0"/>
        <v>0</v>
      </c>
      <c r="E8" s="138"/>
      <c r="F8" s="138"/>
      <c r="G8" s="1">
        <f t="shared" si="1"/>
        <v>0</v>
      </c>
    </row>
    <row r="9" spans="1:7">
      <c r="A9" s="137"/>
      <c r="B9" s="136">
        <f>ROUND(SUMIF(存货明细表!B:B,A9,存货明细表!C:C),2)</f>
        <v>0</v>
      </c>
      <c r="C9" s="136">
        <f>ROUND(SUMIF(存货明细表!B:B,A9,存货明细表!D:D),2)</f>
        <v>0</v>
      </c>
      <c r="D9" s="136">
        <f t="shared" si="0"/>
        <v>0</v>
      </c>
      <c r="E9" s="138"/>
      <c r="F9" s="138"/>
      <c r="G9" s="1">
        <f t="shared" si="1"/>
        <v>0</v>
      </c>
    </row>
    <row r="10" spans="1:7">
      <c r="A10" s="137"/>
      <c r="B10" s="136">
        <f>ROUND(SUMIF(存货明细表!B:B,A10,存货明细表!C:C),2)</f>
        <v>0</v>
      </c>
      <c r="C10" s="136">
        <f>ROUND(SUMIF(存货明细表!B:B,A10,存货明细表!D:D),2)</f>
        <v>0</v>
      </c>
      <c r="D10" s="136">
        <f t="shared" si="0"/>
        <v>0</v>
      </c>
      <c r="E10" s="138"/>
      <c r="F10" s="138"/>
      <c r="G10" s="1">
        <f t="shared" si="1"/>
        <v>0</v>
      </c>
    </row>
    <row r="11" spans="1:7">
      <c r="A11" s="137"/>
      <c r="B11" s="136">
        <f>ROUND(SUMIF(存货明细表!B:B,A11,存货明细表!C:C),2)</f>
        <v>0</v>
      </c>
      <c r="C11" s="136">
        <f>ROUND(SUMIF(存货明细表!B:B,A11,存货明细表!D:D),2)</f>
        <v>0</v>
      </c>
      <c r="D11" s="136">
        <f t="shared" si="0"/>
        <v>0</v>
      </c>
      <c r="E11" s="138"/>
      <c r="F11" s="138"/>
      <c r="G11" s="1">
        <f t="shared" si="1"/>
        <v>0</v>
      </c>
    </row>
    <row r="12" spans="1:7">
      <c r="A12" s="150" t="s">
        <v>204</v>
      </c>
      <c r="B12" s="136">
        <f t="shared" ref="B12:G12" si="2">ROUND(SUM(B2:B11),2)</f>
        <v>0</v>
      </c>
      <c r="C12" s="136">
        <f t="shared" si="2"/>
        <v>0</v>
      </c>
      <c r="D12" s="136">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92B4BECE-996C-4A4F-B06A-3BBD0312C5EE}">
          <x14:formula1>
            <xm:f>分类表!$13:$13</xm:f>
          </x14:formula1>
          <xm:sqref>A2:A11</xm:sqref>
        </x14:dataValidation>
      </x14:dataValidation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codeName="Sheet132">
    <tabColor rgb="FFFFC000"/>
  </sheetPr>
  <dimension ref="A1:F1"/>
  <sheetViews>
    <sheetView workbookViewId="0">
      <selection activeCell="F29" sqref="F29"/>
    </sheetView>
  </sheetViews>
  <sheetFormatPr defaultRowHeight="13.8"/>
  <cols>
    <col min="1" max="2" width="9.5546875" style="18" bestFit="1" customWidth="1"/>
    <col min="3" max="6" width="13.88671875" style="18" bestFit="1" customWidth="1"/>
    <col min="7" max="16384" width="8.88671875" style="18"/>
  </cols>
  <sheetData>
    <row r="1" spans="1:6">
      <c r="A1" s="18" t="s">
        <v>337</v>
      </c>
      <c r="B1" s="18" t="s">
        <v>338</v>
      </c>
      <c r="C1" s="18" t="s">
        <v>339</v>
      </c>
      <c r="D1" s="18" t="s">
        <v>340</v>
      </c>
      <c r="E1" s="64" t="s">
        <v>214</v>
      </c>
      <c r="F1" s="18" t="s">
        <v>217</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sheetPr codeName="Sheet11">
    <tabColor rgb="FF00B0F0"/>
  </sheetPr>
  <dimension ref="A1:E72"/>
  <sheetViews>
    <sheetView workbookViewId="0">
      <selection activeCell="I50" sqref="I50"/>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61" t="str">
        <f>"被审计单位:"&amp;基础信息!B1</f>
        <v>被审计单位:杭州市城市建设发展集团有限公司</v>
      </c>
      <c r="B1" s="162" t="s">
        <v>1547</v>
      </c>
      <c r="C1" s="163" t="s">
        <v>1548</v>
      </c>
      <c r="D1" s="162" t="s">
        <v>1549</v>
      </c>
      <c r="E1" s="164"/>
    </row>
    <row r="2" spans="1:5">
      <c r="A2" s="165" t="s">
        <v>1550</v>
      </c>
      <c r="B2" s="166" t="s">
        <v>1551</v>
      </c>
      <c r="C2" s="167">
        <f>审定报表分析性复核!C2</f>
        <v>0</v>
      </c>
      <c r="D2" s="166" t="s">
        <v>1552</v>
      </c>
      <c r="E2" s="168">
        <f>审定报表分析性复核!E2</f>
        <v>0</v>
      </c>
    </row>
    <row r="3" spans="1:5" ht="14.4" thickBot="1">
      <c r="A3" s="169" t="str">
        <f>审定报表分析性复核!A3</f>
        <v>财务报表截止日/期间：2020-12-31</v>
      </c>
      <c r="B3" s="170" t="s">
        <v>1553</v>
      </c>
      <c r="C3" s="171">
        <f>审定报表分析性复核!C3</f>
        <v>0</v>
      </c>
      <c r="D3" s="170" t="s">
        <v>1552</v>
      </c>
      <c r="E3" s="172">
        <f>审定报表分析性复核!E3</f>
        <v>0</v>
      </c>
    </row>
    <row r="4" spans="1:5" ht="14.4" thickBot="1">
      <c r="A4" s="173" t="s">
        <v>1554</v>
      </c>
      <c r="B4" s="174"/>
      <c r="C4" s="175"/>
      <c r="D4" s="174"/>
      <c r="E4" s="175"/>
    </row>
    <row r="5" spans="1:5">
      <c r="A5" s="696" t="s">
        <v>1555</v>
      </c>
      <c r="B5" s="697"/>
      <c r="C5" s="697"/>
      <c r="D5" s="697"/>
      <c r="E5" s="698"/>
    </row>
    <row r="6" spans="1:5" ht="24">
      <c r="A6" s="176" t="s">
        <v>1556</v>
      </c>
      <c r="B6" s="177" t="s">
        <v>1557</v>
      </c>
      <c r="C6" s="699" t="s">
        <v>1558</v>
      </c>
      <c r="D6" s="689"/>
      <c r="E6" s="700"/>
    </row>
    <row r="7" spans="1:5" ht="24">
      <c r="A7" s="176" t="s">
        <v>1559</v>
      </c>
      <c r="B7" s="178" t="s">
        <v>1560</v>
      </c>
      <c r="C7" s="701">
        <f>负债表!B72</f>
        <v>0</v>
      </c>
      <c r="D7" s="701"/>
      <c r="E7" s="702"/>
    </row>
    <row r="8" spans="1:5">
      <c r="A8" s="179" t="s">
        <v>1561</v>
      </c>
      <c r="B8" s="180"/>
      <c r="C8" s="703"/>
      <c r="D8" s="703"/>
      <c r="E8" s="704"/>
    </row>
    <row r="9" spans="1:5">
      <c r="A9" s="705"/>
      <c r="B9" s="640"/>
      <c r="C9" s="640"/>
      <c r="D9" s="640"/>
      <c r="E9" s="641"/>
    </row>
    <row r="10" spans="1:5">
      <c r="A10" s="663" t="s">
        <v>1562</v>
      </c>
      <c r="B10" s="664"/>
      <c r="C10" s="664"/>
      <c r="D10" s="664"/>
      <c r="E10" s="665"/>
    </row>
    <row r="11" spans="1:5">
      <c r="A11" s="660" t="s">
        <v>1563</v>
      </c>
      <c r="B11" s="661"/>
      <c r="C11" s="661"/>
      <c r="D11" s="661"/>
      <c r="E11" s="662"/>
    </row>
    <row r="12" spans="1:5" ht="15.6">
      <c r="A12" s="176" t="s">
        <v>1564</v>
      </c>
      <c r="B12" s="177" t="s">
        <v>1565</v>
      </c>
      <c r="C12" s="637" t="s">
        <v>1566</v>
      </c>
      <c r="D12" s="689"/>
      <c r="E12" s="181" t="s">
        <v>1567</v>
      </c>
    </row>
    <row r="13" spans="1:5" ht="15.6">
      <c r="A13" s="182">
        <f>C7</f>
        <v>0</v>
      </c>
      <c r="B13" s="180" t="s">
        <v>1568</v>
      </c>
      <c r="C13" s="690">
        <v>0.05</v>
      </c>
      <c r="D13" s="684"/>
      <c r="E13" s="183">
        <f>A13*C13</f>
        <v>0</v>
      </c>
    </row>
    <row r="14" spans="1:5">
      <c r="A14" s="660" t="s">
        <v>1569</v>
      </c>
      <c r="B14" s="661"/>
      <c r="C14" s="661"/>
      <c r="D14" s="661"/>
      <c r="E14" s="662"/>
    </row>
    <row r="15" spans="1:5">
      <c r="A15" s="176" t="s">
        <v>1570</v>
      </c>
      <c r="B15" s="691" t="s">
        <v>1571</v>
      </c>
      <c r="C15" s="691"/>
      <c r="D15" s="691"/>
      <c r="E15" s="692"/>
    </row>
    <row r="16" spans="1:5">
      <c r="A16" s="184"/>
      <c r="B16" s="691"/>
      <c r="C16" s="691"/>
      <c r="D16" s="691"/>
      <c r="E16" s="692"/>
    </row>
    <row r="17" spans="1:5">
      <c r="A17" s="185" t="s">
        <v>1572</v>
      </c>
      <c r="B17" s="186"/>
      <c r="C17" s="693">
        <f>INT(E13/10000)*10000</f>
        <v>0</v>
      </c>
      <c r="D17" s="694"/>
      <c r="E17" s="695"/>
    </row>
    <row r="18" spans="1:5">
      <c r="A18" s="681"/>
      <c r="B18" s="682"/>
      <c r="C18" s="682"/>
      <c r="D18" s="682"/>
      <c r="E18" s="683"/>
    </row>
    <row r="19" spans="1:5">
      <c r="A19" s="663" t="s">
        <v>1573</v>
      </c>
      <c r="B19" s="664"/>
      <c r="C19" s="664"/>
      <c r="D19" s="664"/>
      <c r="E19" s="665"/>
    </row>
    <row r="20" spans="1:5">
      <c r="A20" s="187" t="s">
        <v>1574</v>
      </c>
      <c r="B20" s="188" t="s">
        <v>1575</v>
      </c>
      <c r="C20" s="637" t="s">
        <v>1576</v>
      </c>
      <c r="D20" s="637"/>
      <c r="E20" s="638"/>
    </row>
    <row r="21" spans="1:5">
      <c r="A21" s="187"/>
      <c r="B21" s="189"/>
      <c r="C21" s="671"/>
      <c r="D21" s="671"/>
      <c r="E21" s="688"/>
    </row>
    <row r="22" spans="1:5">
      <c r="A22" s="187"/>
      <c r="B22" s="189"/>
      <c r="C22" s="671"/>
      <c r="D22" s="671"/>
      <c r="E22" s="688"/>
    </row>
    <row r="23" spans="1:5">
      <c r="A23" s="190"/>
      <c r="B23" s="189"/>
      <c r="C23" s="674"/>
      <c r="D23" s="674"/>
      <c r="E23" s="675"/>
    </row>
    <row r="24" spans="1:5">
      <c r="A24" s="190"/>
      <c r="B24" s="191"/>
      <c r="C24" s="676"/>
      <c r="D24" s="677"/>
      <c r="E24" s="678"/>
    </row>
    <row r="25" spans="1:5">
      <c r="A25" s="663" t="s">
        <v>1577</v>
      </c>
      <c r="B25" s="664"/>
      <c r="C25" s="664"/>
      <c r="D25" s="664"/>
      <c r="E25" s="665"/>
    </row>
    <row r="26" spans="1:5">
      <c r="A26" s="176" t="s">
        <v>1576</v>
      </c>
      <c r="B26" s="188" t="s">
        <v>1578</v>
      </c>
      <c r="C26" s="188" t="s">
        <v>1579</v>
      </c>
      <c r="D26" s="188" t="s">
        <v>1566</v>
      </c>
      <c r="E26" s="192" t="s">
        <v>1567</v>
      </c>
    </row>
    <row r="27" spans="1:5">
      <c r="A27" s="184" t="s">
        <v>1580</v>
      </c>
      <c r="B27" s="193">
        <f>C17</f>
        <v>0</v>
      </c>
      <c r="C27" s="194" t="s">
        <v>1581</v>
      </c>
      <c r="D27" s="195">
        <v>0.75</v>
      </c>
      <c r="E27" s="183">
        <f>D27*B27</f>
        <v>0</v>
      </c>
    </row>
    <row r="28" spans="1:5">
      <c r="A28" s="184" t="s">
        <v>1582</v>
      </c>
      <c r="B28" s="193"/>
      <c r="C28" s="194" t="s">
        <v>1583</v>
      </c>
      <c r="D28" s="195"/>
      <c r="E28" s="183">
        <f>B28*D28</f>
        <v>0</v>
      </c>
    </row>
    <row r="29" spans="1:5">
      <c r="A29" s="190"/>
      <c r="B29" s="196"/>
      <c r="C29" s="197"/>
      <c r="D29" s="180"/>
      <c r="E29" s="192"/>
    </row>
    <row r="30" spans="1:5">
      <c r="A30" s="666" t="s">
        <v>1584</v>
      </c>
      <c r="B30" s="667"/>
      <c r="C30" s="668">
        <f>E27</f>
        <v>0</v>
      </c>
      <c r="D30" s="679"/>
      <c r="E30" s="680"/>
    </row>
    <row r="31" spans="1:5">
      <c r="A31" s="681"/>
      <c r="B31" s="682"/>
      <c r="C31" s="682"/>
      <c r="D31" s="682"/>
      <c r="E31" s="683"/>
    </row>
    <row r="32" spans="1:5">
      <c r="A32" s="663" t="s">
        <v>1585</v>
      </c>
      <c r="B32" s="664"/>
      <c r="C32" s="664"/>
      <c r="D32" s="664"/>
      <c r="E32" s="665"/>
    </row>
    <row r="33" spans="1:5" ht="15.6">
      <c r="A33" s="187" t="s">
        <v>1574</v>
      </c>
      <c r="B33" s="177" t="s">
        <v>1586</v>
      </c>
      <c r="C33" s="637" t="s">
        <v>1576</v>
      </c>
      <c r="D33" s="684"/>
      <c r="E33" s="685"/>
    </row>
    <row r="34" spans="1:5">
      <c r="A34" s="198"/>
      <c r="B34" s="199"/>
      <c r="C34" s="686"/>
      <c r="D34" s="686"/>
      <c r="E34" s="687"/>
    </row>
    <row r="35" spans="1:5">
      <c r="A35" s="184"/>
      <c r="B35" s="200"/>
      <c r="C35" s="637"/>
      <c r="D35" s="637"/>
      <c r="E35" s="638"/>
    </row>
    <row r="36" spans="1:5">
      <c r="A36" s="184"/>
      <c r="B36" s="200"/>
      <c r="C36" s="637"/>
      <c r="D36" s="637"/>
      <c r="E36" s="638"/>
    </row>
    <row r="37" spans="1:5">
      <c r="A37" s="184"/>
      <c r="B37" s="201"/>
      <c r="C37" s="639"/>
      <c r="D37" s="640"/>
      <c r="E37" s="641"/>
    </row>
    <row r="38" spans="1:5">
      <c r="A38" s="663" t="s">
        <v>1587</v>
      </c>
      <c r="B38" s="664"/>
      <c r="C38" s="664"/>
      <c r="D38" s="664"/>
      <c r="E38" s="665"/>
    </row>
    <row r="39" spans="1:5">
      <c r="A39" s="176" t="s">
        <v>1576</v>
      </c>
      <c r="B39" s="188" t="s">
        <v>1578</v>
      </c>
      <c r="C39" s="188" t="s">
        <v>1579</v>
      </c>
      <c r="D39" s="188" t="s">
        <v>1566</v>
      </c>
      <c r="E39" s="192" t="s">
        <v>1567</v>
      </c>
    </row>
    <row r="40" spans="1:5" ht="24">
      <c r="A40" s="202" t="s">
        <v>1588</v>
      </c>
      <c r="B40" s="193">
        <f>C17</f>
        <v>0</v>
      </c>
      <c r="C40" s="194" t="s">
        <v>1589</v>
      </c>
      <c r="D40" s="195"/>
      <c r="E40" s="183">
        <f>D40*B40</f>
        <v>0</v>
      </c>
    </row>
    <row r="41" spans="1:5" ht="26.4">
      <c r="A41" s="202" t="s">
        <v>1590</v>
      </c>
      <c r="B41" s="193">
        <f>C17</f>
        <v>0</v>
      </c>
      <c r="C41" s="194" t="s">
        <v>1591</v>
      </c>
      <c r="D41" s="203">
        <v>0.03</v>
      </c>
      <c r="E41" s="183">
        <f>B41*D41</f>
        <v>0</v>
      </c>
    </row>
    <row r="42" spans="1:5">
      <c r="A42" s="666" t="s">
        <v>1592</v>
      </c>
      <c r="B42" s="667"/>
      <c r="C42" s="668">
        <f>E41</f>
        <v>0</v>
      </c>
      <c r="D42" s="668"/>
      <c r="E42" s="669"/>
    </row>
    <row r="43" spans="1:5">
      <c r="A43" s="663" t="s">
        <v>1593</v>
      </c>
      <c r="B43" s="664"/>
      <c r="C43" s="664"/>
      <c r="D43" s="664"/>
      <c r="E43" s="665"/>
    </row>
    <row r="44" spans="1:5">
      <c r="A44" s="670" t="s">
        <v>1594</v>
      </c>
      <c r="B44" s="671"/>
      <c r="C44" s="672"/>
      <c r="D44" s="672"/>
      <c r="E44" s="673"/>
    </row>
    <row r="45" spans="1:5">
      <c r="A45" s="649" t="s">
        <v>1595</v>
      </c>
      <c r="B45" s="650"/>
      <c r="C45" s="651"/>
      <c r="D45" s="651"/>
      <c r="E45" s="652"/>
    </row>
    <row r="46" spans="1:5" ht="15.6">
      <c r="A46" s="649" t="s">
        <v>1596</v>
      </c>
      <c r="B46" s="650"/>
      <c r="C46" s="651"/>
      <c r="D46" s="653"/>
      <c r="E46" s="654"/>
    </row>
    <row r="47" spans="1:5">
      <c r="A47" s="204" t="s">
        <v>1597</v>
      </c>
      <c r="B47" s="205"/>
      <c r="C47" s="655"/>
      <c r="D47" s="656"/>
      <c r="E47" s="657"/>
    </row>
    <row r="48" spans="1:5">
      <c r="A48" s="187" t="s">
        <v>1574</v>
      </c>
      <c r="B48" s="177" t="s">
        <v>1598</v>
      </c>
      <c r="C48" s="637" t="s">
        <v>1576</v>
      </c>
      <c r="D48" s="637"/>
      <c r="E48" s="638"/>
    </row>
    <row r="49" spans="1:5">
      <c r="A49" s="184"/>
      <c r="B49" s="206"/>
      <c r="C49" s="637"/>
      <c r="D49" s="637"/>
      <c r="E49" s="638"/>
    </row>
    <row r="50" spans="1:5">
      <c r="A50" s="184"/>
      <c r="B50" s="206"/>
      <c r="C50" s="637"/>
      <c r="D50" s="637"/>
      <c r="E50" s="638"/>
    </row>
    <row r="51" spans="1:5">
      <c r="A51" s="184"/>
      <c r="B51" s="206"/>
      <c r="C51" s="658"/>
      <c r="D51" s="658"/>
      <c r="E51" s="659"/>
    </row>
    <row r="52" spans="1:5">
      <c r="A52" s="660" t="s">
        <v>1599</v>
      </c>
      <c r="B52" s="661"/>
      <c r="C52" s="661"/>
      <c r="D52" s="661"/>
      <c r="E52" s="662"/>
    </row>
    <row r="53" spans="1:5">
      <c r="A53" s="187" t="s">
        <v>1574</v>
      </c>
      <c r="B53" s="177" t="s">
        <v>1600</v>
      </c>
      <c r="C53" s="637" t="s">
        <v>1601</v>
      </c>
      <c r="D53" s="637"/>
      <c r="E53" s="638"/>
    </row>
    <row r="54" spans="1:5">
      <c r="A54" s="184"/>
      <c r="B54" s="206"/>
      <c r="C54" s="637"/>
      <c r="D54" s="637"/>
      <c r="E54" s="638"/>
    </row>
    <row r="55" spans="1:5">
      <c r="A55" s="184"/>
      <c r="B55" s="206"/>
      <c r="C55" s="637"/>
      <c r="D55" s="637"/>
      <c r="E55" s="638"/>
    </row>
    <row r="56" spans="1:5">
      <c r="A56" s="184"/>
      <c r="B56" s="206"/>
      <c r="C56" s="639"/>
      <c r="D56" s="640"/>
      <c r="E56" s="641"/>
    </row>
    <row r="57" spans="1:5" ht="16.2" thickBot="1">
      <c r="A57" s="207" t="s">
        <v>1602</v>
      </c>
      <c r="B57" s="208"/>
      <c r="C57" s="642"/>
      <c r="D57" s="643"/>
      <c r="E57" s="644"/>
    </row>
    <row r="58" spans="1:5" ht="14.4" thickBot="1">
      <c r="A58" s="209"/>
      <c r="B58" s="210"/>
      <c r="C58" s="210"/>
      <c r="D58" s="211"/>
      <c r="E58" s="211"/>
    </row>
    <row r="59" spans="1:5">
      <c r="A59" s="645" t="s">
        <v>1603</v>
      </c>
      <c r="B59" s="646"/>
      <c r="C59" s="212"/>
      <c r="D59" s="213" t="s">
        <v>1552</v>
      </c>
      <c r="E59" s="214"/>
    </row>
    <row r="60" spans="1:5" ht="14.4" thickBot="1">
      <c r="A60" s="647" t="s">
        <v>1604</v>
      </c>
      <c r="B60" s="648"/>
      <c r="C60" s="215"/>
      <c r="D60" s="216" t="s">
        <v>1552</v>
      </c>
      <c r="E60" s="217"/>
    </row>
    <row r="61" spans="1:5">
      <c r="A61" s="209"/>
      <c r="B61" s="210"/>
      <c r="C61" s="210"/>
      <c r="D61" s="211"/>
      <c r="E61" s="211"/>
    </row>
    <row r="62" spans="1:5">
      <c r="A62" s="635" t="s">
        <v>1605</v>
      </c>
      <c r="B62" s="635"/>
      <c r="C62" s="635"/>
      <c r="D62" s="211"/>
      <c r="E62" s="211"/>
    </row>
    <row r="63" spans="1:5">
      <c r="A63" s="635" t="s">
        <v>1606</v>
      </c>
      <c r="B63" s="635"/>
      <c r="C63" s="635"/>
      <c r="D63" s="635"/>
      <c r="E63" s="635"/>
    </row>
    <row r="64" spans="1:5" ht="14.4" thickBot="1">
      <c r="A64" s="218" t="s">
        <v>1607</v>
      </c>
      <c r="B64" s="218" t="s">
        <v>1608</v>
      </c>
      <c r="C64" s="219"/>
      <c r="D64" s="220"/>
      <c r="E64" s="221"/>
    </row>
    <row r="65" spans="1:5" ht="43.8" thickBot="1">
      <c r="A65" s="222" t="s">
        <v>1609</v>
      </c>
      <c r="B65" s="222" t="s">
        <v>1610</v>
      </c>
      <c r="C65" s="223"/>
      <c r="D65" s="211"/>
      <c r="E65" s="224"/>
    </row>
    <row r="66" spans="1:5" ht="15" thickBot="1">
      <c r="A66" s="225" t="s">
        <v>1611</v>
      </c>
      <c r="B66" s="225" t="s">
        <v>1612</v>
      </c>
      <c r="C66" s="223"/>
      <c r="D66" s="226"/>
      <c r="E66" s="224"/>
    </row>
    <row r="67" spans="1:5" ht="15" thickBot="1">
      <c r="A67" s="225" t="s">
        <v>1613</v>
      </c>
      <c r="B67" s="225" t="s">
        <v>1614</v>
      </c>
      <c r="C67" s="223"/>
      <c r="D67" s="224"/>
      <c r="E67" s="224"/>
    </row>
    <row r="68" spans="1:5" ht="15" thickBot="1">
      <c r="A68" s="225" t="s">
        <v>1615</v>
      </c>
      <c r="B68" s="225" t="s">
        <v>1616</v>
      </c>
      <c r="C68" s="223"/>
      <c r="D68" s="227"/>
      <c r="E68" s="224"/>
    </row>
    <row r="69" spans="1:5" ht="15" thickBot="1">
      <c r="A69" s="228" t="s">
        <v>1617</v>
      </c>
      <c r="B69" s="228" t="s">
        <v>1618</v>
      </c>
      <c r="C69" s="223"/>
      <c r="D69" s="224"/>
      <c r="E69" s="224"/>
    </row>
    <row r="70" spans="1:5" ht="29.4" thickBot="1">
      <c r="A70" s="228" t="s">
        <v>1619</v>
      </c>
      <c r="B70" s="228" t="s">
        <v>1620</v>
      </c>
      <c r="C70" s="223"/>
      <c r="D70" s="224"/>
      <c r="E70" s="224"/>
    </row>
    <row r="71" spans="1:5">
      <c r="A71" s="636" t="s">
        <v>1621</v>
      </c>
      <c r="B71" s="636"/>
      <c r="C71" s="636"/>
      <c r="D71" s="636"/>
      <c r="E71" s="636"/>
    </row>
    <row r="72" spans="1:5">
      <c r="A72" s="636" t="s">
        <v>1622</v>
      </c>
      <c r="B72" s="636"/>
      <c r="C72" s="636"/>
      <c r="D72" s="636"/>
      <c r="E72" s="636"/>
    </row>
  </sheetData>
  <mergeCells count="57">
    <mergeCell ref="A10:E10"/>
    <mergeCell ref="A5:E5"/>
    <mergeCell ref="C6:E6"/>
    <mergeCell ref="C7:E7"/>
    <mergeCell ref="C8:E8"/>
    <mergeCell ref="A9:E9"/>
    <mergeCell ref="C22:E22"/>
    <mergeCell ref="A11:E11"/>
    <mergeCell ref="C12:D12"/>
    <mergeCell ref="C13:D13"/>
    <mergeCell ref="A14:E14"/>
    <mergeCell ref="B15:E15"/>
    <mergeCell ref="B16:E16"/>
    <mergeCell ref="C17:E17"/>
    <mergeCell ref="A18:E18"/>
    <mergeCell ref="A19:E19"/>
    <mergeCell ref="C20:E20"/>
    <mergeCell ref="C21:E21"/>
    <mergeCell ref="C37:E37"/>
    <mergeCell ref="C23:E23"/>
    <mergeCell ref="C24:E24"/>
    <mergeCell ref="A25:E25"/>
    <mergeCell ref="A30:B30"/>
    <mergeCell ref="C30:E30"/>
    <mergeCell ref="A31:E31"/>
    <mergeCell ref="A32:E32"/>
    <mergeCell ref="C33:E33"/>
    <mergeCell ref="C34:E34"/>
    <mergeCell ref="C35:E35"/>
    <mergeCell ref="C36:E36"/>
    <mergeCell ref="A38:E38"/>
    <mergeCell ref="A42:B42"/>
    <mergeCell ref="C42:E42"/>
    <mergeCell ref="A43:E43"/>
    <mergeCell ref="A44:B44"/>
    <mergeCell ref="C44:E44"/>
    <mergeCell ref="C54:E54"/>
    <mergeCell ref="A45:B45"/>
    <mergeCell ref="C45:E45"/>
    <mergeCell ref="A46:B46"/>
    <mergeCell ref="C46:E46"/>
    <mergeCell ref="C47:E47"/>
    <mergeCell ref="C48:E48"/>
    <mergeCell ref="C49:E49"/>
    <mergeCell ref="C50:E50"/>
    <mergeCell ref="C51:E51"/>
    <mergeCell ref="A52:E52"/>
    <mergeCell ref="C53:E53"/>
    <mergeCell ref="A63:E63"/>
    <mergeCell ref="A71:E71"/>
    <mergeCell ref="A72:E72"/>
    <mergeCell ref="C55:E55"/>
    <mergeCell ref="C56:E56"/>
    <mergeCell ref="C57:E57"/>
    <mergeCell ref="A59:B59"/>
    <mergeCell ref="A60:B60"/>
    <mergeCell ref="A62:C62"/>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codeName="Sheet133">
    <tabColor rgb="FFFFC000"/>
  </sheetPr>
  <dimension ref="A1:F8"/>
  <sheetViews>
    <sheetView workbookViewId="0">
      <selection activeCell="J25" sqref="J25"/>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 bestFit="1" customWidth="1"/>
    <col min="7" max="16384" width="8.88671875" style="18"/>
  </cols>
  <sheetData>
    <row r="1" spans="1:6">
      <c r="A1" s="18" t="s">
        <v>337</v>
      </c>
      <c r="B1" s="18" t="s">
        <v>341</v>
      </c>
      <c r="C1" s="18" t="s">
        <v>217</v>
      </c>
      <c r="D1" s="18" t="s">
        <v>342</v>
      </c>
      <c r="E1" s="18" t="s">
        <v>335</v>
      </c>
      <c r="F1" s="301" t="s">
        <v>214</v>
      </c>
    </row>
    <row r="2" spans="1:6">
      <c r="F2" s="1">
        <f>C2+D2-E2</f>
        <v>0</v>
      </c>
    </row>
    <row r="3" spans="1:6">
      <c r="F3" s="1">
        <f t="shared" ref="F3:F8" si="0">C3+D3-E3</f>
        <v>0</v>
      </c>
    </row>
    <row r="4" spans="1:6">
      <c r="F4" s="1">
        <f t="shared" si="0"/>
        <v>0</v>
      </c>
    </row>
    <row r="5" spans="1:6">
      <c r="F5" s="1">
        <f t="shared" si="0"/>
        <v>0</v>
      </c>
    </row>
    <row r="6" spans="1:6">
      <c r="F6" s="1">
        <f t="shared" si="0"/>
        <v>0</v>
      </c>
    </row>
    <row r="7" spans="1:6">
      <c r="F7" s="1">
        <f t="shared" si="0"/>
        <v>0</v>
      </c>
    </row>
    <row r="8" spans="1:6">
      <c r="F8" s="1">
        <f t="shared" si="0"/>
        <v>0</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codeName="Sheet134">
    <tabColor rgb="FFFFC000"/>
  </sheetPr>
  <dimension ref="A1:F4"/>
  <sheetViews>
    <sheetView workbookViewId="0">
      <selection activeCell="F16" sqref="F16"/>
    </sheetView>
  </sheetViews>
  <sheetFormatPr defaultRowHeight="13.8"/>
  <cols>
    <col min="1" max="4" width="12.33203125" style="18" customWidth="1"/>
    <col min="5" max="5" width="17.77734375" style="18" customWidth="1"/>
    <col min="6" max="6" width="7.5546875" style="18" bestFit="1" customWidth="1"/>
    <col min="7" max="16384" width="8.88671875" style="18"/>
  </cols>
  <sheetData>
    <row r="1" spans="1:6" ht="14.4">
      <c r="A1" s="19" t="s">
        <v>28</v>
      </c>
      <c r="B1" s="20" t="s">
        <v>3345</v>
      </c>
      <c r="C1" s="20" t="s">
        <v>359</v>
      </c>
      <c r="D1" s="20" t="s">
        <v>360</v>
      </c>
      <c r="E1" s="20" t="s">
        <v>361</v>
      </c>
      <c r="F1" s="20" t="s">
        <v>203</v>
      </c>
    </row>
    <row r="2" spans="1:6" ht="14.4">
      <c r="A2" s="268"/>
      <c r="B2" s="267"/>
      <c r="C2" s="267"/>
      <c r="D2" s="267"/>
      <c r="E2" s="267"/>
      <c r="F2" s="68">
        <f>ROUND(B2+C2-D2-E2,2)</f>
        <v>0</v>
      </c>
    </row>
    <row r="3" spans="1:6" ht="14.4">
      <c r="A3" s="268"/>
      <c r="B3" s="267"/>
      <c r="C3" s="267"/>
      <c r="D3" s="267"/>
      <c r="E3" s="267"/>
      <c r="F3" s="68">
        <f>ROUND(B3+C3-D3-E3,2)</f>
        <v>0</v>
      </c>
    </row>
    <row r="4" spans="1:6" ht="14.4">
      <c r="A4" s="19" t="s">
        <v>2404</v>
      </c>
      <c r="B4" s="68">
        <f>ROUND(SUM(B2:B3),2)</f>
        <v>0</v>
      </c>
      <c r="C4" s="68">
        <f>ROUND(SUM(C2:C3),2)</f>
        <v>0</v>
      </c>
      <c r="D4" s="68">
        <f>ROUND(SUM(D2:D3),2)</f>
        <v>0</v>
      </c>
      <c r="E4" s="68">
        <f>ROUND(SUM(E2:E3),2)</f>
        <v>0</v>
      </c>
      <c r="F4" s="68">
        <f>ROUND(SUM(F2:F3),2)</f>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1424-3374-4F92-8AB2-2D4C41FF3C49}">
  <sheetPr codeName="Sheet135"/>
  <dimension ref="A1:AF24"/>
  <sheetViews>
    <sheetView workbookViewId="0">
      <selection activeCell="A7" sqref="A7"/>
    </sheetView>
  </sheetViews>
  <sheetFormatPr defaultRowHeight="13.8"/>
  <cols>
    <col min="1" max="3" width="9.5546875" style="229" bestFit="1" customWidth="1"/>
    <col min="4" max="4" width="5.5546875" style="229" bestFit="1" customWidth="1"/>
    <col min="5" max="5" width="9.5546875" style="229" bestFit="1" customWidth="1"/>
    <col min="6" max="6" width="11.6640625" style="229" bestFit="1" customWidth="1"/>
    <col min="7" max="10" width="13.88671875" style="229" bestFit="1" customWidth="1"/>
    <col min="11" max="13" width="13.88671875" style="229" customWidth="1"/>
    <col min="14" max="14" width="9" style="229" customWidth="1"/>
    <col min="15" max="15" width="9.109375" style="229" customWidth="1"/>
    <col min="16" max="16" width="7.77734375" style="229" customWidth="1"/>
    <col min="17" max="17" width="13.88671875" style="229" bestFit="1" customWidth="1"/>
    <col min="18" max="19" width="18.33203125" style="229" bestFit="1" customWidth="1"/>
    <col min="20" max="20" width="13.88671875" style="229" bestFit="1" customWidth="1"/>
    <col min="21" max="21" width="22.6640625" style="229" bestFit="1" customWidth="1"/>
    <col min="22" max="16384" width="8.88671875" style="229"/>
  </cols>
  <sheetData>
    <row r="1" spans="1:32" s="519" customFormat="1" ht="55.2">
      <c r="A1" s="312" t="s">
        <v>1976</v>
      </c>
      <c r="B1" s="312" t="s">
        <v>3403</v>
      </c>
      <c r="C1" s="312" t="s">
        <v>3404</v>
      </c>
      <c r="D1" s="312" t="s">
        <v>3405</v>
      </c>
      <c r="E1" s="312" t="s">
        <v>3407</v>
      </c>
      <c r="F1" s="312" t="s">
        <v>3411</v>
      </c>
      <c r="G1" s="312" t="s">
        <v>3406</v>
      </c>
      <c r="H1" s="312" t="s">
        <v>3408</v>
      </c>
      <c r="I1" s="312" t="s">
        <v>3409</v>
      </c>
      <c r="J1" s="312" t="s">
        <v>3410</v>
      </c>
      <c r="K1" s="312" t="s">
        <v>3424</v>
      </c>
      <c r="L1" s="312" t="s">
        <v>3432</v>
      </c>
      <c r="M1" s="312" t="s">
        <v>3433</v>
      </c>
      <c r="N1" s="312" t="s">
        <v>3425</v>
      </c>
      <c r="O1" s="312" t="s">
        <v>3426</v>
      </c>
      <c r="P1" s="312" t="s">
        <v>3427</v>
      </c>
      <c r="Q1" s="519" t="s">
        <v>3412</v>
      </c>
      <c r="R1" s="519" t="s">
        <v>3413</v>
      </c>
      <c r="S1" s="519" t="s">
        <v>3414</v>
      </c>
      <c r="T1" s="519" t="s">
        <v>3415</v>
      </c>
      <c r="U1" s="519" t="s">
        <v>3416</v>
      </c>
      <c r="V1" s="519" t="s">
        <v>3417</v>
      </c>
      <c r="W1" s="519" t="s">
        <v>3418</v>
      </c>
      <c r="X1" s="519" t="s">
        <v>3419</v>
      </c>
      <c r="Y1" s="519" t="s">
        <v>3420</v>
      </c>
      <c r="Z1" s="519" t="s">
        <v>3421</v>
      </c>
      <c r="AA1" s="519" t="s">
        <v>3422</v>
      </c>
      <c r="AB1" s="519" t="s">
        <v>3423</v>
      </c>
      <c r="AC1" s="519" t="s">
        <v>3428</v>
      </c>
      <c r="AD1" s="519" t="s">
        <v>3429</v>
      </c>
      <c r="AE1" s="519" t="s">
        <v>3430</v>
      </c>
      <c r="AF1" s="519" t="s">
        <v>3431</v>
      </c>
    </row>
    <row r="2" spans="1:32">
      <c r="A2" s="229" t="str">
        <f>IF(ABS(F2)&gt;0,基础信息!$B$1,"")</f>
        <v/>
      </c>
      <c r="B2" s="288"/>
      <c r="C2" s="288"/>
      <c r="D2" s="288"/>
      <c r="E2" s="229">
        <f>IFERROR(J2/F2,0)</f>
        <v>0</v>
      </c>
      <c r="G2" s="288"/>
      <c r="H2" s="288"/>
      <c r="I2" s="288"/>
      <c r="J2" s="288"/>
      <c r="K2" s="259">
        <f>L2+M2</f>
        <v>0</v>
      </c>
      <c r="L2" s="288"/>
      <c r="M2" s="288"/>
      <c r="N2" s="288"/>
      <c r="O2" s="288"/>
      <c r="P2" s="288"/>
      <c r="Q2" s="288"/>
      <c r="R2" s="229">
        <f>-I2</f>
        <v>0</v>
      </c>
      <c r="S2" s="288"/>
      <c r="T2" s="229">
        <f>Q2+R2-S2</f>
        <v>0</v>
      </c>
      <c r="U2" s="288"/>
      <c r="V2" s="288"/>
      <c r="W2" s="288"/>
      <c r="X2" s="229">
        <f>U2+V2-W2</f>
        <v>0</v>
      </c>
      <c r="Y2" s="288"/>
      <c r="Z2" s="229">
        <f>G2</f>
        <v>0</v>
      </c>
      <c r="AA2" s="229">
        <f>K2</f>
        <v>0</v>
      </c>
      <c r="AB2" s="229">
        <f>Y2+Z2-AA2</f>
        <v>0</v>
      </c>
      <c r="AC2" s="288"/>
      <c r="AD2" s="229">
        <f>N2</f>
        <v>0</v>
      </c>
      <c r="AE2" s="229">
        <f>O2</f>
        <v>0</v>
      </c>
      <c r="AF2" s="229">
        <f>AC2+AD2-AE2</f>
        <v>0</v>
      </c>
    </row>
    <row r="3" spans="1:32">
      <c r="A3" s="229" t="str">
        <f>IF(ABS(F3)&gt;0,基础信息!$B$1,"")</f>
        <v/>
      </c>
      <c r="B3" s="288"/>
      <c r="C3" s="288"/>
      <c r="D3" s="288"/>
      <c r="E3" s="229">
        <f t="shared" ref="E3:E14" si="0">IFERROR(J3/F3,0)</f>
        <v>0</v>
      </c>
      <c r="G3" s="288"/>
      <c r="H3" s="288"/>
      <c r="I3" s="288"/>
      <c r="J3" s="288"/>
      <c r="K3" s="259">
        <f t="shared" ref="K3:K24" si="1">L3+M3</f>
        <v>0</v>
      </c>
      <c r="L3" s="288"/>
      <c r="M3" s="288"/>
      <c r="N3" s="288"/>
      <c r="O3" s="288"/>
      <c r="P3" s="288"/>
      <c r="Q3" s="288"/>
      <c r="R3" s="229">
        <f t="shared" ref="R3:R18" si="2">-I3</f>
        <v>0</v>
      </c>
      <c r="S3" s="288"/>
      <c r="T3" s="229">
        <f t="shared" ref="T3:T17" si="3">Q3+R3-S3</f>
        <v>0</v>
      </c>
      <c r="U3" s="288"/>
      <c r="V3" s="288"/>
      <c r="W3" s="288"/>
      <c r="X3" s="229">
        <f t="shared" ref="X3:X19" si="4">U3+V3-W3</f>
        <v>0</v>
      </c>
      <c r="Y3" s="288"/>
      <c r="Z3" s="229">
        <f t="shared" ref="Z3:Z24" si="5">G3</f>
        <v>0</v>
      </c>
      <c r="AA3" s="229">
        <f t="shared" ref="AA3:AA24" si="6">K3</f>
        <v>0</v>
      </c>
      <c r="AB3" s="229">
        <f t="shared" ref="AB3:AB24" si="7">Y3+Z3-AA3</f>
        <v>0</v>
      </c>
      <c r="AC3" s="288"/>
      <c r="AD3" s="229">
        <f t="shared" ref="AD3:AD24" si="8">N3</f>
        <v>0</v>
      </c>
      <c r="AE3" s="229">
        <f t="shared" ref="AE3:AE24" si="9">O3</f>
        <v>0</v>
      </c>
      <c r="AF3" s="229">
        <f t="shared" ref="AF3:AF24" si="10">AC3+AD3-AE3</f>
        <v>0</v>
      </c>
    </row>
    <row r="4" spans="1:32">
      <c r="A4" s="229" t="str">
        <f>IF(ABS(F4)&gt;0,基础信息!$B$1,"")</f>
        <v/>
      </c>
      <c r="B4" s="288"/>
      <c r="C4" s="288"/>
      <c r="D4" s="288"/>
      <c r="E4" s="229">
        <f t="shared" si="0"/>
        <v>0</v>
      </c>
      <c r="G4" s="288"/>
      <c r="H4" s="288"/>
      <c r="I4" s="288"/>
      <c r="J4" s="288"/>
      <c r="K4" s="259">
        <f t="shared" si="1"/>
        <v>0</v>
      </c>
      <c r="L4" s="288"/>
      <c r="M4" s="288"/>
      <c r="N4" s="288"/>
      <c r="O4" s="288"/>
      <c r="P4" s="288"/>
      <c r="Q4" s="288"/>
      <c r="R4" s="229">
        <f t="shared" si="2"/>
        <v>0</v>
      </c>
      <c r="S4" s="288"/>
      <c r="T4" s="229">
        <f t="shared" si="3"/>
        <v>0</v>
      </c>
      <c r="U4" s="288"/>
      <c r="V4" s="288"/>
      <c r="W4" s="288"/>
      <c r="X4" s="229">
        <f t="shared" si="4"/>
        <v>0</v>
      </c>
      <c r="Y4" s="288"/>
      <c r="Z4" s="229">
        <f t="shared" si="5"/>
        <v>0</v>
      </c>
      <c r="AA4" s="229">
        <f t="shared" si="6"/>
        <v>0</v>
      </c>
      <c r="AB4" s="229">
        <f t="shared" si="7"/>
        <v>0</v>
      </c>
      <c r="AC4" s="288"/>
      <c r="AD4" s="229">
        <f t="shared" si="8"/>
        <v>0</v>
      </c>
      <c r="AE4" s="229">
        <f t="shared" si="9"/>
        <v>0</v>
      </c>
      <c r="AF4" s="229">
        <f t="shared" si="10"/>
        <v>0</v>
      </c>
    </row>
    <row r="5" spans="1:32">
      <c r="A5" s="229" t="str">
        <f>IF(ABS(F5)&gt;0,基础信息!$B$1,"")</f>
        <v/>
      </c>
      <c r="B5" s="288"/>
      <c r="C5" s="288"/>
      <c r="D5" s="288"/>
      <c r="E5" s="229">
        <f t="shared" si="0"/>
        <v>0</v>
      </c>
      <c r="G5" s="288"/>
      <c r="H5" s="288"/>
      <c r="I5" s="288"/>
      <c r="J5" s="288"/>
      <c r="K5" s="259">
        <f t="shared" si="1"/>
        <v>0</v>
      </c>
      <c r="L5" s="288"/>
      <c r="M5" s="288"/>
      <c r="N5" s="288"/>
      <c r="O5" s="288"/>
      <c r="P5" s="288"/>
      <c r="Q5" s="288"/>
      <c r="R5" s="229">
        <f t="shared" si="2"/>
        <v>0</v>
      </c>
      <c r="S5" s="288"/>
      <c r="T5" s="229">
        <f t="shared" si="3"/>
        <v>0</v>
      </c>
      <c r="U5" s="288"/>
      <c r="V5" s="288"/>
      <c r="W5" s="288"/>
      <c r="X5" s="229">
        <f t="shared" si="4"/>
        <v>0</v>
      </c>
      <c r="Y5" s="288"/>
      <c r="Z5" s="229">
        <f t="shared" si="5"/>
        <v>0</v>
      </c>
      <c r="AA5" s="229">
        <f t="shared" si="6"/>
        <v>0</v>
      </c>
      <c r="AB5" s="229">
        <f t="shared" si="7"/>
        <v>0</v>
      </c>
      <c r="AC5" s="288"/>
      <c r="AD5" s="229">
        <f t="shared" si="8"/>
        <v>0</v>
      </c>
      <c r="AE5" s="229">
        <f t="shared" si="9"/>
        <v>0</v>
      </c>
      <c r="AF5" s="229">
        <f t="shared" si="10"/>
        <v>0</v>
      </c>
    </row>
    <row r="6" spans="1:32">
      <c r="A6" s="229" t="str">
        <f>IF(ABS(F6)&gt;0,基础信息!$B$1,"")</f>
        <v/>
      </c>
      <c r="B6" s="288"/>
      <c r="C6" s="288"/>
      <c r="D6" s="288"/>
      <c r="E6" s="229">
        <f t="shared" si="0"/>
        <v>0</v>
      </c>
      <c r="G6" s="288"/>
      <c r="H6" s="288"/>
      <c r="I6" s="288"/>
      <c r="J6" s="288"/>
      <c r="K6" s="259">
        <f t="shared" si="1"/>
        <v>0</v>
      </c>
      <c r="L6" s="288"/>
      <c r="M6" s="288"/>
      <c r="N6" s="288"/>
      <c r="O6" s="288"/>
      <c r="P6" s="288"/>
      <c r="Q6" s="288"/>
      <c r="R6" s="229">
        <f t="shared" si="2"/>
        <v>0</v>
      </c>
      <c r="S6" s="288"/>
      <c r="T6" s="229">
        <f t="shared" si="3"/>
        <v>0</v>
      </c>
      <c r="U6" s="288"/>
      <c r="V6" s="288"/>
      <c r="W6" s="288"/>
      <c r="X6" s="229">
        <f t="shared" si="4"/>
        <v>0</v>
      </c>
      <c r="Y6" s="288"/>
      <c r="Z6" s="229">
        <f t="shared" si="5"/>
        <v>0</v>
      </c>
      <c r="AA6" s="229">
        <f t="shared" si="6"/>
        <v>0</v>
      </c>
      <c r="AB6" s="229">
        <f t="shared" si="7"/>
        <v>0</v>
      </c>
      <c r="AC6" s="288"/>
      <c r="AD6" s="229">
        <f t="shared" si="8"/>
        <v>0</v>
      </c>
      <c r="AE6" s="229">
        <f t="shared" si="9"/>
        <v>0</v>
      </c>
      <c r="AF6" s="229">
        <f t="shared" si="10"/>
        <v>0</v>
      </c>
    </row>
    <row r="7" spans="1:32">
      <c r="A7" s="229" t="str">
        <f>IF(ABS(F7)&gt;0,基础信息!$B$1,"")</f>
        <v/>
      </c>
      <c r="B7" s="288"/>
      <c r="C7" s="288"/>
      <c r="D7" s="288"/>
      <c r="E7" s="229">
        <f t="shared" si="0"/>
        <v>0</v>
      </c>
      <c r="G7" s="288"/>
      <c r="H7" s="288"/>
      <c r="I7" s="288"/>
      <c r="J7" s="288"/>
      <c r="K7" s="259">
        <f t="shared" si="1"/>
        <v>0</v>
      </c>
      <c r="L7" s="288"/>
      <c r="M7" s="288"/>
      <c r="N7" s="288"/>
      <c r="O7" s="288"/>
      <c r="P7" s="288"/>
      <c r="Q7" s="288"/>
      <c r="R7" s="229">
        <f t="shared" si="2"/>
        <v>0</v>
      </c>
      <c r="S7" s="288"/>
      <c r="T7" s="229">
        <f t="shared" si="3"/>
        <v>0</v>
      </c>
      <c r="U7" s="288"/>
      <c r="V7" s="288"/>
      <c r="W7" s="288"/>
      <c r="X7" s="229">
        <f t="shared" si="4"/>
        <v>0</v>
      </c>
      <c r="Y7" s="288"/>
      <c r="Z7" s="229">
        <f t="shared" si="5"/>
        <v>0</v>
      </c>
      <c r="AA7" s="229">
        <f t="shared" si="6"/>
        <v>0</v>
      </c>
      <c r="AB7" s="229">
        <f t="shared" si="7"/>
        <v>0</v>
      </c>
      <c r="AC7" s="288"/>
      <c r="AD7" s="229">
        <f t="shared" si="8"/>
        <v>0</v>
      </c>
      <c r="AE7" s="229">
        <f t="shared" si="9"/>
        <v>0</v>
      </c>
      <c r="AF7" s="229">
        <f t="shared" si="10"/>
        <v>0</v>
      </c>
    </row>
    <row r="8" spans="1:32">
      <c r="A8" s="229" t="str">
        <f>IF(ABS(F8)&gt;0,基础信息!$B$1,"")</f>
        <v/>
      </c>
      <c r="B8" s="288"/>
      <c r="C8" s="288"/>
      <c r="D8" s="288"/>
      <c r="E8" s="229">
        <f t="shared" si="0"/>
        <v>0</v>
      </c>
      <c r="G8" s="288"/>
      <c r="H8" s="288"/>
      <c r="I8" s="288"/>
      <c r="J8" s="288"/>
      <c r="K8" s="259">
        <f t="shared" si="1"/>
        <v>0</v>
      </c>
      <c r="L8" s="288"/>
      <c r="M8" s="288"/>
      <c r="N8" s="288"/>
      <c r="O8" s="288"/>
      <c r="P8" s="288"/>
      <c r="Q8" s="288"/>
      <c r="R8" s="229">
        <f t="shared" si="2"/>
        <v>0</v>
      </c>
      <c r="S8" s="288"/>
      <c r="T8" s="229">
        <f t="shared" si="3"/>
        <v>0</v>
      </c>
      <c r="U8" s="288"/>
      <c r="V8" s="288"/>
      <c r="W8" s="288"/>
      <c r="X8" s="229">
        <f t="shared" si="4"/>
        <v>0</v>
      </c>
      <c r="Y8" s="288"/>
      <c r="Z8" s="229">
        <f t="shared" si="5"/>
        <v>0</v>
      </c>
      <c r="AA8" s="229">
        <f t="shared" si="6"/>
        <v>0</v>
      </c>
      <c r="AB8" s="229">
        <f t="shared" si="7"/>
        <v>0</v>
      </c>
      <c r="AC8" s="288"/>
      <c r="AD8" s="229">
        <f t="shared" si="8"/>
        <v>0</v>
      </c>
      <c r="AE8" s="229">
        <f t="shared" si="9"/>
        <v>0</v>
      </c>
      <c r="AF8" s="229">
        <f t="shared" si="10"/>
        <v>0</v>
      </c>
    </row>
    <row r="9" spans="1:32">
      <c r="A9" s="229" t="str">
        <f>IF(ABS(F9)&gt;0,基础信息!$B$1,"")</f>
        <v/>
      </c>
      <c r="B9" s="288"/>
      <c r="C9" s="288"/>
      <c r="D9" s="288"/>
      <c r="E9" s="229">
        <f t="shared" si="0"/>
        <v>0</v>
      </c>
      <c r="G9" s="288"/>
      <c r="H9" s="288"/>
      <c r="I9" s="288"/>
      <c r="J9" s="288"/>
      <c r="K9" s="259">
        <f t="shared" si="1"/>
        <v>0</v>
      </c>
      <c r="L9" s="288"/>
      <c r="M9" s="288"/>
      <c r="N9" s="288"/>
      <c r="O9" s="288"/>
      <c r="P9" s="288"/>
      <c r="Q9" s="288"/>
      <c r="R9" s="229">
        <f t="shared" si="2"/>
        <v>0</v>
      </c>
      <c r="S9" s="288"/>
      <c r="T9" s="229">
        <f t="shared" si="3"/>
        <v>0</v>
      </c>
      <c r="U9" s="288"/>
      <c r="V9" s="288"/>
      <c r="W9" s="288"/>
      <c r="X9" s="229">
        <f t="shared" si="4"/>
        <v>0</v>
      </c>
      <c r="Y9" s="288"/>
      <c r="Z9" s="229">
        <f t="shared" si="5"/>
        <v>0</v>
      </c>
      <c r="AA9" s="229">
        <f t="shared" si="6"/>
        <v>0</v>
      </c>
      <c r="AB9" s="229">
        <f t="shared" si="7"/>
        <v>0</v>
      </c>
      <c r="AC9" s="288"/>
      <c r="AD9" s="229">
        <f t="shared" si="8"/>
        <v>0</v>
      </c>
      <c r="AE9" s="229">
        <f t="shared" si="9"/>
        <v>0</v>
      </c>
      <c r="AF9" s="229">
        <f t="shared" si="10"/>
        <v>0</v>
      </c>
    </row>
    <row r="10" spans="1:32">
      <c r="A10" s="229" t="str">
        <f>IF(ABS(F10)&gt;0,基础信息!$B$1,"")</f>
        <v/>
      </c>
      <c r="B10" s="288"/>
      <c r="C10" s="288"/>
      <c r="D10" s="288"/>
      <c r="E10" s="229">
        <f t="shared" si="0"/>
        <v>0</v>
      </c>
      <c r="G10" s="288"/>
      <c r="H10" s="288"/>
      <c r="I10" s="288"/>
      <c r="J10" s="288"/>
      <c r="K10" s="259">
        <f t="shared" si="1"/>
        <v>0</v>
      </c>
      <c r="L10" s="288"/>
      <c r="M10" s="288"/>
      <c r="N10" s="288"/>
      <c r="O10" s="288"/>
      <c r="P10" s="288"/>
      <c r="Q10" s="288"/>
      <c r="R10" s="229">
        <f t="shared" si="2"/>
        <v>0</v>
      </c>
      <c r="S10" s="288"/>
      <c r="T10" s="229">
        <f t="shared" si="3"/>
        <v>0</v>
      </c>
      <c r="U10" s="288"/>
      <c r="V10" s="288"/>
      <c r="W10" s="288"/>
      <c r="X10" s="229">
        <f t="shared" si="4"/>
        <v>0</v>
      </c>
      <c r="Y10" s="288"/>
      <c r="Z10" s="229">
        <f t="shared" si="5"/>
        <v>0</v>
      </c>
      <c r="AA10" s="229">
        <f t="shared" si="6"/>
        <v>0</v>
      </c>
      <c r="AB10" s="229">
        <f t="shared" si="7"/>
        <v>0</v>
      </c>
      <c r="AC10" s="288"/>
      <c r="AD10" s="229">
        <f t="shared" si="8"/>
        <v>0</v>
      </c>
      <c r="AE10" s="229">
        <f t="shared" si="9"/>
        <v>0</v>
      </c>
      <c r="AF10" s="229">
        <f t="shared" si="10"/>
        <v>0</v>
      </c>
    </row>
    <row r="11" spans="1:32">
      <c r="A11" s="229" t="str">
        <f>IF(ABS(F11)&gt;0,基础信息!$B$1,"")</f>
        <v/>
      </c>
      <c r="B11" s="288"/>
      <c r="C11" s="288"/>
      <c r="D11" s="288"/>
      <c r="E11" s="229">
        <f t="shared" si="0"/>
        <v>0</v>
      </c>
      <c r="G11" s="288"/>
      <c r="H11" s="288"/>
      <c r="I11" s="288"/>
      <c r="J11" s="288"/>
      <c r="K11" s="259">
        <f t="shared" si="1"/>
        <v>0</v>
      </c>
      <c r="L11" s="288"/>
      <c r="M11" s="288"/>
      <c r="N11" s="288"/>
      <c r="O11" s="288"/>
      <c r="P11" s="288"/>
      <c r="Q11" s="288"/>
      <c r="R11" s="229">
        <f t="shared" si="2"/>
        <v>0</v>
      </c>
      <c r="S11" s="288"/>
      <c r="T11" s="229">
        <f t="shared" si="3"/>
        <v>0</v>
      </c>
      <c r="U11" s="288"/>
      <c r="V11" s="288"/>
      <c r="W11" s="288"/>
      <c r="X11" s="229">
        <f t="shared" si="4"/>
        <v>0</v>
      </c>
      <c r="Y11" s="288"/>
      <c r="Z11" s="229">
        <f t="shared" si="5"/>
        <v>0</v>
      </c>
      <c r="AA11" s="229">
        <f t="shared" si="6"/>
        <v>0</v>
      </c>
      <c r="AB11" s="229">
        <f t="shared" si="7"/>
        <v>0</v>
      </c>
      <c r="AC11" s="288"/>
      <c r="AD11" s="229">
        <f t="shared" si="8"/>
        <v>0</v>
      </c>
      <c r="AE11" s="229">
        <f t="shared" si="9"/>
        <v>0</v>
      </c>
      <c r="AF11" s="229">
        <f t="shared" si="10"/>
        <v>0</v>
      </c>
    </row>
    <row r="12" spans="1:32">
      <c r="A12" s="229" t="str">
        <f>IF(ABS(F12)&gt;0,基础信息!$B$1,"")</f>
        <v/>
      </c>
      <c r="B12" s="288"/>
      <c r="C12" s="288"/>
      <c r="D12" s="288"/>
      <c r="E12" s="229">
        <f t="shared" si="0"/>
        <v>0</v>
      </c>
      <c r="G12" s="288"/>
      <c r="H12" s="288"/>
      <c r="I12" s="288"/>
      <c r="J12" s="288"/>
      <c r="K12" s="259">
        <f t="shared" si="1"/>
        <v>0</v>
      </c>
      <c r="L12" s="288"/>
      <c r="M12" s="288"/>
      <c r="N12" s="288"/>
      <c r="O12" s="288"/>
      <c r="P12" s="288"/>
      <c r="Q12" s="288"/>
      <c r="R12" s="229">
        <f t="shared" si="2"/>
        <v>0</v>
      </c>
      <c r="S12" s="288"/>
      <c r="T12" s="229">
        <f t="shared" si="3"/>
        <v>0</v>
      </c>
      <c r="U12" s="288"/>
      <c r="V12" s="288"/>
      <c r="W12" s="288"/>
      <c r="X12" s="229">
        <f t="shared" si="4"/>
        <v>0</v>
      </c>
      <c r="Y12" s="288"/>
      <c r="Z12" s="229">
        <f t="shared" si="5"/>
        <v>0</v>
      </c>
      <c r="AA12" s="229">
        <f t="shared" si="6"/>
        <v>0</v>
      </c>
      <c r="AB12" s="229">
        <f t="shared" si="7"/>
        <v>0</v>
      </c>
      <c r="AC12" s="288"/>
      <c r="AD12" s="229">
        <f t="shared" si="8"/>
        <v>0</v>
      </c>
      <c r="AE12" s="229">
        <f t="shared" si="9"/>
        <v>0</v>
      </c>
      <c r="AF12" s="229">
        <f t="shared" si="10"/>
        <v>0</v>
      </c>
    </row>
    <row r="13" spans="1:32">
      <c r="A13" s="229" t="str">
        <f>IF(ABS(F13)&gt;0,基础信息!$B$1,"")</f>
        <v/>
      </c>
      <c r="B13" s="288"/>
      <c r="C13" s="288"/>
      <c r="D13" s="288"/>
      <c r="E13" s="229">
        <f t="shared" si="0"/>
        <v>0</v>
      </c>
      <c r="G13" s="288"/>
      <c r="H13" s="288"/>
      <c r="I13" s="288"/>
      <c r="J13" s="288"/>
      <c r="K13" s="259">
        <f t="shared" si="1"/>
        <v>0</v>
      </c>
      <c r="L13" s="288"/>
      <c r="M13" s="288"/>
      <c r="N13" s="288"/>
      <c r="O13" s="288"/>
      <c r="P13" s="288"/>
      <c r="Q13" s="288"/>
      <c r="R13" s="229">
        <f t="shared" si="2"/>
        <v>0</v>
      </c>
      <c r="S13" s="288"/>
      <c r="T13" s="229">
        <f t="shared" si="3"/>
        <v>0</v>
      </c>
      <c r="U13" s="288"/>
      <c r="V13" s="288"/>
      <c r="W13" s="288"/>
      <c r="X13" s="229">
        <f t="shared" si="4"/>
        <v>0</v>
      </c>
      <c r="Y13" s="288"/>
      <c r="Z13" s="229">
        <f t="shared" si="5"/>
        <v>0</v>
      </c>
      <c r="AA13" s="229">
        <f t="shared" si="6"/>
        <v>0</v>
      </c>
      <c r="AB13" s="229">
        <f t="shared" si="7"/>
        <v>0</v>
      </c>
      <c r="AC13" s="288"/>
      <c r="AD13" s="229">
        <f t="shared" si="8"/>
        <v>0</v>
      </c>
      <c r="AE13" s="229">
        <f t="shared" si="9"/>
        <v>0</v>
      </c>
      <c r="AF13" s="229">
        <f t="shared" si="10"/>
        <v>0</v>
      </c>
    </row>
    <row r="14" spans="1:32">
      <c r="A14" s="229" t="str">
        <f>IF(ABS(F14)&gt;0,基础信息!$B$1,"")</f>
        <v/>
      </c>
      <c r="B14" s="288"/>
      <c r="C14" s="288"/>
      <c r="D14" s="288"/>
      <c r="E14" s="229">
        <f t="shared" si="0"/>
        <v>0</v>
      </c>
      <c r="G14" s="288"/>
      <c r="H14" s="288"/>
      <c r="I14" s="288"/>
      <c r="J14" s="288"/>
      <c r="K14" s="259">
        <f t="shared" si="1"/>
        <v>0</v>
      </c>
      <c r="L14" s="288"/>
      <c r="M14" s="288"/>
      <c r="N14" s="288"/>
      <c r="O14" s="288"/>
      <c r="P14" s="288"/>
      <c r="Q14" s="288"/>
      <c r="R14" s="229">
        <f t="shared" si="2"/>
        <v>0</v>
      </c>
      <c r="S14" s="288"/>
      <c r="T14" s="229">
        <f t="shared" si="3"/>
        <v>0</v>
      </c>
      <c r="U14" s="288"/>
      <c r="V14" s="288"/>
      <c r="W14" s="288"/>
      <c r="X14" s="229">
        <f t="shared" si="4"/>
        <v>0</v>
      </c>
      <c r="Y14" s="288"/>
      <c r="Z14" s="229">
        <f t="shared" si="5"/>
        <v>0</v>
      </c>
      <c r="AA14" s="229">
        <f t="shared" si="6"/>
        <v>0</v>
      </c>
      <c r="AB14" s="229">
        <f t="shared" si="7"/>
        <v>0</v>
      </c>
      <c r="AC14" s="288"/>
      <c r="AD14" s="229">
        <f t="shared" si="8"/>
        <v>0</v>
      </c>
      <c r="AE14" s="229">
        <f t="shared" si="9"/>
        <v>0</v>
      </c>
      <c r="AF14" s="229">
        <f t="shared" si="10"/>
        <v>0</v>
      </c>
    </row>
    <row r="15" spans="1:32">
      <c r="A15" s="229" t="str">
        <f>IF(ABS(F15)&gt;0,基础信息!$B$1,"")</f>
        <v/>
      </c>
      <c r="B15" s="288"/>
      <c r="C15" s="288"/>
      <c r="D15" s="288"/>
      <c r="G15" s="288"/>
      <c r="H15" s="288"/>
      <c r="I15" s="288"/>
      <c r="J15" s="288"/>
      <c r="K15" s="259">
        <f t="shared" si="1"/>
        <v>0</v>
      </c>
      <c r="L15" s="288"/>
      <c r="M15" s="288"/>
      <c r="N15" s="288"/>
      <c r="O15" s="288"/>
      <c r="P15" s="288"/>
      <c r="Q15" s="288"/>
      <c r="R15" s="229">
        <f t="shared" si="2"/>
        <v>0</v>
      </c>
      <c r="S15" s="288"/>
      <c r="T15" s="229">
        <f t="shared" si="3"/>
        <v>0</v>
      </c>
      <c r="U15" s="288"/>
      <c r="V15" s="288"/>
      <c r="W15" s="288"/>
      <c r="X15" s="229">
        <f t="shared" si="4"/>
        <v>0</v>
      </c>
      <c r="Y15" s="288"/>
      <c r="Z15" s="229">
        <f t="shared" si="5"/>
        <v>0</v>
      </c>
      <c r="AA15" s="229">
        <f t="shared" si="6"/>
        <v>0</v>
      </c>
      <c r="AB15" s="229">
        <f t="shared" si="7"/>
        <v>0</v>
      </c>
      <c r="AC15" s="288"/>
      <c r="AD15" s="229">
        <f t="shared" si="8"/>
        <v>0</v>
      </c>
      <c r="AE15" s="229">
        <f t="shared" si="9"/>
        <v>0</v>
      </c>
      <c r="AF15" s="229">
        <f t="shared" si="10"/>
        <v>0</v>
      </c>
    </row>
    <row r="16" spans="1:32">
      <c r="A16" s="229" t="str">
        <f>IF(ABS(F16)&gt;0,基础信息!$B$1,"")</f>
        <v/>
      </c>
      <c r="B16" s="288"/>
      <c r="C16" s="288"/>
      <c r="D16" s="288"/>
      <c r="G16" s="288"/>
      <c r="H16" s="288"/>
      <c r="I16" s="288"/>
      <c r="J16" s="288"/>
      <c r="K16" s="259">
        <f t="shared" si="1"/>
        <v>0</v>
      </c>
      <c r="L16" s="288"/>
      <c r="M16" s="288"/>
      <c r="N16" s="288"/>
      <c r="O16" s="288"/>
      <c r="P16" s="288"/>
      <c r="Q16" s="288"/>
      <c r="R16" s="229">
        <f t="shared" si="2"/>
        <v>0</v>
      </c>
      <c r="S16" s="288"/>
      <c r="T16" s="229">
        <f t="shared" si="3"/>
        <v>0</v>
      </c>
      <c r="U16" s="288"/>
      <c r="V16" s="288"/>
      <c r="W16" s="288"/>
      <c r="X16" s="229">
        <f t="shared" si="4"/>
        <v>0</v>
      </c>
      <c r="Y16" s="288"/>
      <c r="Z16" s="229">
        <f t="shared" si="5"/>
        <v>0</v>
      </c>
      <c r="AA16" s="229">
        <f t="shared" si="6"/>
        <v>0</v>
      </c>
      <c r="AB16" s="229">
        <f t="shared" si="7"/>
        <v>0</v>
      </c>
      <c r="AC16" s="288"/>
      <c r="AD16" s="229">
        <f t="shared" si="8"/>
        <v>0</v>
      </c>
      <c r="AE16" s="229">
        <f t="shared" si="9"/>
        <v>0</v>
      </c>
      <c r="AF16" s="229">
        <f t="shared" si="10"/>
        <v>0</v>
      </c>
    </row>
    <row r="17" spans="1:32">
      <c r="A17" s="229" t="str">
        <f>IF(ABS(F17)&gt;0,基础信息!$B$1,"")</f>
        <v/>
      </c>
      <c r="B17" s="288"/>
      <c r="C17" s="288"/>
      <c r="D17" s="288"/>
      <c r="G17" s="288"/>
      <c r="H17" s="288"/>
      <c r="I17" s="288"/>
      <c r="J17" s="288"/>
      <c r="K17" s="259">
        <f t="shared" si="1"/>
        <v>0</v>
      </c>
      <c r="L17" s="288"/>
      <c r="M17" s="288"/>
      <c r="N17" s="288"/>
      <c r="O17" s="288"/>
      <c r="P17" s="288"/>
      <c r="Q17" s="288"/>
      <c r="R17" s="229">
        <f t="shared" si="2"/>
        <v>0</v>
      </c>
      <c r="S17" s="288"/>
      <c r="T17" s="229">
        <f t="shared" si="3"/>
        <v>0</v>
      </c>
      <c r="U17" s="288"/>
      <c r="V17" s="288"/>
      <c r="W17" s="288"/>
      <c r="X17" s="229">
        <f t="shared" si="4"/>
        <v>0</v>
      </c>
      <c r="Y17" s="288"/>
      <c r="Z17" s="229">
        <f t="shared" si="5"/>
        <v>0</v>
      </c>
      <c r="AA17" s="229">
        <f t="shared" si="6"/>
        <v>0</v>
      </c>
      <c r="AB17" s="229">
        <f t="shared" si="7"/>
        <v>0</v>
      </c>
      <c r="AC17" s="288"/>
      <c r="AD17" s="229">
        <f t="shared" si="8"/>
        <v>0</v>
      </c>
      <c r="AE17" s="229">
        <f t="shared" si="9"/>
        <v>0</v>
      </c>
      <c r="AF17" s="229">
        <f t="shared" si="10"/>
        <v>0</v>
      </c>
    </row>
    <row r="18" spans="1:32">
      <c r="A18" s="229" t="str">
        <f>IF(ABS(F18)&gt;0,基础信息!$B$1,"")</f>
        <v/>
      </c>
      <c r="B18" s="288"/>
      <c r="C18" s="288"/>
      <c r="D18" s="288"/>
      <c r="G18" s="288"/>
      <c r="H18" s="288"/>
      <c r="I18" s="288"/>
      <c r="J18" s="288"/>
      <c r="K18" s="259">
        <f t="shared" si="1"/>
        <v>0</v>
      </c>
      <c r="L18" s="288"/>
      <c r="M18" s="288"/>
      <c r="N18" s="288"/>
      <c r="O18" s="288"/>
      <c r="P18" s="288"/>
      <c r="Q18" s="288"/>
      <c r="R18" s="229">
        <f t="shared" si="2"/>
        <v>0</v>
      </c>
      <c r="S18" s="288"/>
      <c r="U18" s="288"/>
      <c r="V18" s="288"/>
      <c r="W18" s="288"/>
      <c r="X18" s="229">
        <f t="shared" si="4"/>
        <v>0</v>
      </c>
      <c r="Y18" s="288"/>
      <c r="Z18" s="229">
        <f t="shared" si="5"/>
        <v>0</v>
      </c>
      <c r="AA18" s="229">
        <f t="shared" si="6"/>
        <v>0</v>
      </c>
      <c r="AB18" s="229">
        <f t="shared" si="7"/>
        <v>0</v>
      </c>
      <c r="AC18" s="288"/>
      <c r="AD18" s="229">
        <f t="shared" si="8"/>
        <v>0</v>
      </c>
      <c r="AE18" s="229">
        <f t="shared" si="9"/>
        <v>0</v>
      </c>
      <c r="AF18" s="229">
        <f t="shared" si="10"/>
        <v>0</v>
      </c>
    </row>
    <row r="19" spans="1:32">
      <c r="A19" s="229" t="str">
        <f>IF(ABS(F19)&gt;0,基础信息!$B$1,"")</f>
        <v/>
      </c>
      <c r="B19" s="288"/>
      <c r="C19" s="288"/>
      <c r="D19" s="288"/>
      <c r="G19" s="288"/>
      <c r="H19" s="288"/>
      <c r="I19" s="288"/>
      <c r="J19" s="288"/>
      <c r="K19" s="259">
        <f t="shared" si="1"/>
        <v>0</v>
      </c>
      <c r="L19" s="288"/>
      <c r="M19" s="288"/>
      <c r="N19" s="288"/>
      <c r="O19" s="288"/>
      <c r="P19" s="288"/>
      <c r="Q19" s="288"/>
      <c r="S19" s="288"/>
      <c r="U19" s="288"/>
      <c r="V19" s="288"/>
      <c r="W19" s="288"/>
      <c r="X19" s="229">
        <f t="shared" si="4"/>
        <v>0</v>
      </c>
      <c r="Y19" s="288"/>
      <c r="Z19" s="229">
        <f t="shared" si="5"/>
        <v>0</v>
      </c>
      <c r="AA19" s="229">
        <f t="shared" si="6"/>
        <v>0</v>
      </c>
      <c r="AB19" s="229">
        <f t="shared" si="7"/>
        <v>0</v>
      </c>
      <c r="AC19" s="288"/>
      <c r="AD19" s="229">
        <f t="shared" si="8"/>
        <v>0</v>
      </c>
      <c r="AE19" s="229">
        <f t="shared" si="9"/>
        <v>0</v>
      </c>
      <c r="AF19" s="229">
        <f t="shared" si="10"/>
        <v>0</v>
      </c>
    </row>
    <row r="20" spans="1:32">
      <c r="A20" s="229" t="str">
        <f>IF(ABS(F20)&gt;0,基础信息!$B$1,"")</f>
        <v/>
      </c>
      <c r="B20" s="288"/>
      <c r="C20" s="288"/>
      <c r="D20" s="288"/>
      <c r="G20" s="288"/>
      <c r="H20" s="288"/>
      <c r="I20" s="288"/>
      <c r="J20" s="288"/>
      <c r="K20" s="259">
        <f t="shared" si="1"/>
        <v>0</v>
      </c>
      <c r="L20" s="288"/>
      <c r="M20" s="288"/>
      <c r="N20" s="288"/>
      <c r="O20" s="288"/>
      <c r="P20" s="288"/>
      <c r="Q20" s="288"/>
      <c r="S20" s="288"/>
      <c r="U20" s="288"/>
      <c r="V20" s="288"/>
      <c r="W20" s="288"/>
      <c r="Y20" s="288"/>
      <c r="Z20" s="229">
        <f t="shared" si="5"/>
        <v>0</v>
      </c>
      <c r="AA20" s="229">
        <f t="shared" si="6"/>
        <v>0</v>
      </c>
      <c r="AB20" s="229">
        <f t="shared" si="7"/>
        <v>0</v>
      </c>
      <c r="AC20" s="288"/>
      <c r="AD20" s="229">
        <f t="shared" si="8"/>
        <v>0</v>
      </c>
      <c r="AE20" s="229">
        <f t="shared" si="9"/>
        <v>0</v>
      </c>
      <c r="AF20" s="229">
        <f t="shared" si="10"/>
        <v>0</v>
      </c>
    </row>
    <row r="21" spans="1:32">
      <c r="A21" s="229" t="str">
        <f>IF(ABS(F21)&gt;0,基础信息!$B$1,"")</f>
        <v/>
      </c>
      <c r="B21" s="288"/>
      <c r="C21" s="288"/>
      <c r="D21" s="288"/>
      <c r="G21" s="288"/>
      <c r="H21" s="288"/>
      <c r="I21" s="288"/>
      <c r="J21" s="288"/>
      <c r="K21" s="259">
        <f t="shared" si="1"/>
        <v>0</v>
      </c>
      <c r="L21" s="288"/>
      <c r="M21" s="288"/>
      <c r="N21" s="288"/>
      <c r="O21" s="288"/>
      <c r="P21" s="288"/>
      <c r="Q21" s="288"/>
      <c r="S21" s="288"/>
      <c r="U21" s="288"/>
      <c r="V21" s="288"/>
      <c r="W21" s="288"/>
      <c r="Y21" s="288"/>
      <c r="Z21" s="229">
        <f t="shared" si="5"/>
        <v>0</v>
      </c>
      <c r="AA21" s="229">
        <f t="shared" si="6"/>
        <v>0</v>
      </c>
      <c r="AB21" s="229">
        <f t="shared" si="7"/>
        <v>0</v>
      </c>
      <c r="AC21" s="288"/>
      <c r="AD21" s="229">
        <f t="shared" si="8"/>
        <v>0</v>
      </c>
      <c r="AE21" s="229">
        <f t="shared" si="9"/>
        <v>0</v>
      </c>
      <c r="AF21" s="229">
        <f t="shared" si="10"/>
        <v>0</v>
      </c>
    </row>
    <row r="22" spans="1:32">
      <c r="B22" s="288"/>
      <c r="C22" s="288"/>
      <c r="D22" s="288"/>
      <c r="G22" s="288"/>
      <c r="H22" s="288"/>
      <c r="I22" s="288"/>
      <c r="J22" s="288"/>
      <c r="K22" s="259">
        <f t="shared" si="1"/>
        <v>0</v>
      </c>
      <c r="L22" s="288"/>
      <c r="M22" s="288"/>
      <c r="N22" s="288"/>
      <c r="O22" s="288"/>
      <c r="P22" s="288"/>
      <c r="Q22" s="288"/>
      <c r="S22" s="288"/>
      <c r="U22" s="288"/>
      <c r="V22" s="288"/>
      <c r="W22" s="288"/>
      <c r="Y22" s="288"/>
      <c r="Z22" s="229">
        <f t="shared" si="5"/>
        <v>0</v>
      </c>
      <c r="AA22" s="229">
        <f t="shared" si="6"/>
        <v>0</v>
      </c>
      <c r="AB22" s="229">
        <f t="shared" si="7"/>
        <v>0</v>
      </c>
      <c r="AC22" s="288"/>
      <c r="AD22" s="229">
        <f t="shared" si="8"/>
        <v>0</v>
      </c>
      <c r="AE22" s="229">
        <f t="shared" si="9"/>
        <v>0</v>
      </c>
      <c r="AF22" s="229">
        <f t="shared" si="10"/>
        <v>0</v>
      </c>
    </row>
    <row r="23" spans="1:32">
      <c r="B23" s="288"/>
      <c r="C23" s="288"/>
      <c r="D23" s="288"/>
      <c r="G23" s="288"/>
      <c r="H23" s="288"/>
      <c r="I23" s="288"/>
      <c r="J23" s="288"/>
      <c r="K23" s="259">
        <f t="shared" si="1"/>
        <v>0</v>
      </c>
      <c r="L23" s="288"/>
      <c r="M23" s="288"/>
      <c r="N23" s="288"/>
      <c r="O23" s="288"/>
      <c r="P23" s="288"/>
      <c r="Q23" s="288"/>
      <c r="S23" s="288"/>
      <c r="U23" s="288"/>
      <c r="V23" s="288"/>
      <c r="W23" s="288"/>
      <c r="Y23" s="288"/>
      <c r="Z23" s="229">
        <f t="shared" si="5"/>
        <v>0</v>
      </c>
      <c r="AA23" s="229">
        <f t="shared" si="6"/>
        <v>0</v>
      </c>
      <c r="AB23" s="229">
        <f t="shared" si="7"/>
        <v>0</v>
      </c>
      <c r="AC23" s="288"/>
      <c r="AD23" s="229">
        <f t="shared" si="8"/>
        <v>0</v>
      </c>
      <c r="AE23" s="229">
        <f t="shared" si="9"/>
        <v>0</v>
      </c>
      <c r="AF23" s="229">
        <f t="shared" si="10"/>
        <v>0</v>
      </c>
    </row>
    <row r="24" spans="1:32">
      <c r="B24" s="288"/>
      <c r="C24" s="288"/>
      <c r="D24" s="288"/>
      <c r="G24" s="288"/>
      <c r="H24" s="288"/>
      <c r="I24" s="288"/>
      <c r="J24" s="288"/>
      <c r="K24" s="259">
        <f t="shared" si="1"/>
        <v>0</v>
      </c>
      <c r="L24" s="288"/>
      <c r="M24" s="288"/>
      <c r="N24" s="288"/>
      <c r="O24" s="288"/>
      <c r="P24" s="288"/>
      <c r="Q24" s="288"/>
      <c r="S24" s="288"/>
      <c r="U24" s="288"/>
      <c r="V24" s="288"/>
      <c r="W24" s="288"/>
      <c r="Y24" s="288"/>
      <c r="Z24" s="229">
        <f t="shared" si="5"/>
        <v>0</v>
      </c>
      <c r="AA24" s="229">
        <f t="shared" si="6"/>
        <v>0</v>
      </c>
      <c r="AB24" s="229">
        <f t="shared" si="7"/>
        <v>0</v>
      </c>
      <c r="AC24" s="288"/>
      <c r="AD24" s="229">
        <f t="shared" si="8"/>
        <v>0</v>
      </c>
      <c r="AE24" s="229">
        <f t="shared" si="9"/>
        <v>0</v>
      </c>
      <c r="AF24" s="229">
        <f t="shared" si="10"/>
        <v>0</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codeName="Sheet136">
    <tabColor rgb="FFFFC000"/>
  </sheetPr>
  <dimension ref="A1:G18"/>
  <sheetViews>
    <sheetView workbookViewId="0">
      <selection activeCell="D20" sqref="D20"/>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28</v>
      </c>
      <c r="B1" s="18" t="s">
        <v>3345</v>
      </c>
      <c r="C1" s="18" t="s">
        <v>226</v>
      </c>
      <c r="D1" s="18" t="s">
        <v>227</v>
      </c>
      <c r="E1" s="18" t="s">
        <v>336</v>
      </c>
      <c r="F1" s="18" t="s">
        <v>230</v>
      </c>
      <c r="G1" s="18" t="s">
        <v>203</v>
      </c>
    </row>
    <row r="2" spans="1:7">
      <c r="A2" s="246" t="s">
        <v>321</v>
      </c>
      <c r="B2" s="1">
        <f>ROUND(SUMIF(存货明细表!B:B,存货跌价准备明细情况!A2,存货明细表!J:J),2)</f>
        <v>0</v>
      </c>
      <c r="C2" s="1">
        <f>ROUND(SUMIF(存货明细表!B:B,A2,存货明细表!K:K),2)</f>
        <v>0</v>
      </c>
      <c r="D2" s="138"/>
      <c r="E2" s="1">
        <f>ROUND(SUMIF(存货明细表!B:B,A2,存货明细表!M:M)+SUMIF(存货明细表!B:B,存货跌价准备明细情况!A2,存货明细表!L:L),2)</f>
        <v>0</v>
      </c>
      <c r="F2" s="138"/>
      <c r="G2" s="1">
        <f t="shared" ref="G2:G17" si="0">ROUND(B2+C2+D2-E2-F2,2)</f>
        <v>0</v>
      </c>
    </row>
    <row r="3" spans="1:7">
      <c r="A3" s="246" t="s">
        <v>314</v>
      </c>
      <c r="B3" s="1">
        <f>ROUND(SUMIF(存货明细表!B:B,存货跌价准备明细情况!A3,存货明细表!J:J),2)</f>
        <v>0</v>
      </c>
      <c r="C3" s="1">
        <f>ROUND(SUMIF(存货明细表!B:B,A3,存货明细表!K:K),2)</f>
        <v>0</v>
      </c>
      <c r="D3" s="138"/>
      <c r="E3" s="1">
        <f>ROUND(SUMIF(存货明细表!B:B,A3,存货明细表!M:M)+SUMIF(存货明细表!B:B,存货跌价准备明细情况!A3,存货明细表!L:L),2)</f>
        <v>0</v>
      </c>
      <c r="F3" s="138"/>
      <c r="G3" s="1">
        <f t="shared" si="0"/>
        <v>0</v>
      </c>
    </row>
    <row r="4" spans="1:7">
      <c r="A4" s="246" t="s">
        <v>322</v>
      </c>
      <c r="B4" s="1">
        <f>ROUND(SUMIF(存货明细表!B:B,存货跌价准备明细情况!A4,存货明细表!J:J),2)</f>
        <v>0</v>
      </c>
      <c r="C4" s="1">
        <f>ROUND(SUMIF(存货明细表!B:B,A4,存货明细表!K:K),2)</f>
        <v>0</v>
      </c>
      <c r="D4" s="138"/>
      <c r="E4" s="1">
        <f>ROUND(SUMIF(存货明细表!B:B,A4,存货明细表!M:M)+SUMIF(存货明细表!B:B,存货跌价准备明细情况!A4,存货明细表!L:L),2)</f>
        <v>0</v>
      </c>
      <c r="F4" s="138"/>
      <c r="G4" s="1">
        <f t="shared" si="0"/>
        <v>0</v>
      </c>
    </row>
    <row r="5" spans="1:7">
      <c r="A5" s="246" t="s">
        <v>323</v>
      </c>
      <c r="B5" s="1">
        <f>ROUND(SUMIF(存货明细表!B:B,存货跌价准备明细情况!A5,存货明细表!J:J),2)</f>
        <v>0</v>
      </c>
      <c r="C5" s="1">
        <f>ROUND(SUMIF(存货明细表!B:B,A5,存货明细表!K:K),2)</f>
        <v>0</v>
      </c>
      <c r="D5" s="138"/>
      <c r="E5" s="1">
        <f>ROUND(SUMIF(存货明细表!B:B,A5,存货明细表!M:M)+SUMIF(存货明细表!B:B,存货跌价准备明细情况!A5,存货明细表!L:L),2)</f>
        <v>0</v>
      </c>
      <c r="F5" s="138"/>
      <c r="G5" s="1">
        <f t="shared" si="0"/>
        <v>0</v>
      </c>
    </row>
    <row r="6" spans="1:7">
      <c r="A6" s="246" t="s">
        <v>324</v>
      </c>
      <c r="B6" s="1">
        <f>ROUND(SUMIF(存货明细表!B:B,存货跌价准备明细情况!A6,存货明细表!J:J),2)</f>
        <v>0</v>
      </c>
      <c r="C6" s="1">
        <f>ROUND(SUMIF(存货明细表!B:B,A6,存货明细表!K:K),2)</f>
        <v>0</v>
      </c>
      <c r="D6" s="138"/>
      <c r="E6" s="1">
        <f>ROUND(SUMIF(存货明细表!B:B,A6,存货明细表!M:M)+SUMIF(存货明细表!B:B,存货跌价准备明细情况!A6,存货明细表!L:L),2)</f>
        <v>0</v>
      </c>
      <c r="F6" s="138"/>
      <c r="G6" s="1">
        <f t="shared" si="0"/>
        <v>0</v>
      </c>
    </row>
    <row r="7" spans="1:7">
      <c r="A7" s="246" t="s">
        <v>325</v>
      </c>
      <c r="B7" s="1">
        <f>ROUND(SUMIF(存货明细表!B:B,存货跌价准备明细情况!A7,存货明细表!J:J),2)</f>
        <v>0</v>
      </c>
      <c r="C7" s="1">
        <f>ROUND(SUMIF(存货明细表!B:B,A7,存货明细表!K:K),2)</f>
        <v>0</v>
      </c>
      <c r="D7" s="138"/>
      <c r="E7" s="1">
        <f>ROUND(SUMIF(存货明细表!B:B,A7,存货明细表!M:M)+SUMIF(存货明细表!B:B,存货跌价准备明细情况!A7,存货明细表!L:L),2)</f>
        <v>0</v>
      </c>
      <c r="F7" s="138"/>
      <c r="G7" s="1">
        <f t="shared" si="0"/>
        <v>0</v>
      </c>
    </row>
    <row r="8" spans="1:7">
      <c r="A8" s="246" t="s">
        <v>326</v>
      </c>
      <c r="B8" s="1">
        <f>ROUND(SUMIF(存货明细表!B:B,存货跌价准备明细情况!A8,存货明细表!J:J),2)</f>
        <v>0</v>
      </c>
      <c r="C8" s="1">
        <f>ROUND(SUMIF(存货明细表!B:B,A8,存货明细表!K:K),2)</f>
        <v>0</v>
      </c>
      <c r="D8" s="138"/>
      <c r="E8" s="1">
        <f>ROUND(SUMIF(存货明细表!B:B,A8,存货明细表!M:M)+SUMIF(存货明细表!B:B,存货跌价准备明细情况!A8,存货明细表!L:L),2)</f>
        <v>0</v>
      </c>
      <c r="F8" s="138"/>
      <c r="G8" s="1">
        <f t="shared" si="0"/>
        <v>0</v>
      </c>
    </row>
    <row r="9" spans="1:7">
      <c r="A9" s="246" t="s">
        <v>327</v>
      </c>
      <c r="B9" s="1">
        <f>ROUND(SUMIF(存货明细表!B:B,存货跌价准备明细情况!A9,存货明细表!J:J),2)</f>
        <v>0</v>
      </c>
      <c r="C9" s="1">
        <f>ROUND(SUMIF(存货明细表!B:B,A9,存货明细表!K:K),2)</f>
        <v>0</v>
      </c>
      <c r="D9" s="138"/>
      <c r="E9" s="1">
        <f>ROUND(SUMIF(存货明细表!B:B,A9,存货明细表!M:M)+SUMIF(存货明细表!B:B,存货跌价准备明细情况!A9,存货明细表!L:L),2)</f>
        <v>0</v>
      </c>
      <c r="F9" s="138"/>
      <c r="G9" s="1">
        <f t="shared" si="0"/>
        <v>0</v>
      </c>
    </row>
    <row r="10" spans="1:7">
      <c r="A10" s="246" t="s">
        <v>328</v>
      </c>
      <c r="B10" s="1">
        <f>ROUND(SUMIF(存货明细表!B:B,存货跌价准备明细情况!A10,存货明细表!J:J),2)</f>
        <v>0</v>
      </c>
      <c r="C10" s="1">
        <f>ROUND(SUMIF(存货明细表!B:B,A10,存货明细表!K:K),2)</f>
        <v>0</v>
      </c>
      <c r="D10" s="138"/>
      <c r="E10" s="1">
        <f>ROUND(SUMIF(存货明细表!B:B,A10,存货明细表!M:M)+SUMIF(存货明细表!B:B,存货跌价准备明细情况!A10,存货明细表!L:L),2)</f>
        <v>0</v>
      </c>
      <c r="F10" s="138"/>
      <c r="G10" s="1">
        <f t="shared" si="0"/>
        <v>0</v>
      </c>
    </row>
    <row r="11" spans="1:7">
      <c r="A11" s="246" t="s">
        <v>329</v>
      </c>
      <c r="B11" s="1">
        <f>ROUND(SUMIF(存货明细表!B:B,存货跌价准备明细情况!A11,存货明细表!J:J),2)</f>
        <v>0</v>
      </c>
      <c r="C11" s="1">
        <f>ROUND(SUMIF(存货明细表!B:B,A11,存货明细表!K:K),2)</f>
        <v>0</v>
      </c>
      <c r="D11" s="138"/>
      <c r="E11" s="1">
        <f>ROUND(SUMIF(存货明细表!B:B,A11,存货明细表!M:M)+SUMIF(存货明细表!B:B,存货跌价准备明细情况!A11,存货明细表!L:L),2)</f>
        <v>0</v>
      </c>
      <c r="F11" s="138"/>
      <c r="G11" s="1">
        <f t="shared" si="0"/>
        <v>0</v>
      </c>
    </row>
    <row r="12" spans="1:7">
      <c r="A12" s="246" t="s">
        <v>330</v>
      </c>
      <c r="B12" s="1">
        <f>ROUND(SUMIF(存货明细表!B:B,存货跌价准备明细情况!A12,存货明细表!J:J),2)</f>
        <v>0</v>
      </c>
      <c r="C12" s="1">
        <f>ROUND(SUMIF(存货明细表!B:B,A12,存货明细表!K:K),2)</f>
        <v>0</v>
      </c>
      <c r="D12" s="138"/>
      <c r="E12" s="1">
        <f>ROUND(SUMIF(存货明细表!B:B,A12,存货明细表!M:M)+SUMIF(存货明细表!B:B,存货跌价准备明细情况!A12,存货明细表!L:L),2)</f>
        <v>0</v>
      </c>
      <c r="F12" s="138"/>
      <c r="G12" s="1">
        <f t="shared" si="0"/>
        <v>0</v>
      </c>
    </row>
    <row r="13" spans="1:7">
      <c r="A13" s="246" t="s">
        <v>331</v>
      </c>
      <c r="B13" s="1">
        <f>ROUND(SUMIF(存货明细表!B:B,存货跌价准备明细情况!A13,存货明细表!J:J),2)</f>
        <v>0</v>
      </c>
      <c r="C13" s="1">
        <f>ROUND(SUMIF(存货明细表!B:B,A13,存货明细表!K:K),2)</f>
        <v>0</v>
      </c>
      <c r="D13" s="138"/>
      <c r="E13" s="1">
        <f>ROUND(SUMIF(存货明细表!B:B,A13,存货明细表!M:M)+SUMIF(存货明细表!B:B,存货跌价准备明细情况!A13,存货明细表!L:L),2)</f>
        <v>0</v>
      </c>
      <c r="F13" s="138"/>
      <c r="G13" s="1">
        <f t="shared" si="0"/>
        <v>0</v>
      </c>
    </row>
    <row r="14" spans="1:7">
      <c r="A14" s="246" t="s">
        <v>332</v>
      </c>
      <c r="B14" s="1">
        <f>ROUND(SUMIF(存货明细表!B:B,存货跌价准备明细情况!A14,存货明细表!J:J),2)</f>
        <v>0</v>
      </c>
      <c r="C14" s="1">
        <f>ROUND(SUMIF(存货明细表!B:B,A14,存货明细表!K:K),2)</f>
        <v>0</v>
      </c>
      <c r="D14" s="138"/>
      <c r="E14" s="1">
        <f>ROUND(SUMIF(存货明细表!B:B,A14,存货明细表!M:M)+SUMIF(存货明细表!B:B,存货跌价准备明细情况!A14,存货明细表!L:L),2)</f>
        <v>0</v>
      </c>
      <c r="F14" s="138"/>
      <c r="G14" s="1">
        <f t="shared" si="0"/>
        <v>0</v>
      </c>
    </row>
    <row r="15" spans="1:7">
      <c r="A15" s="246" t="s">
        <v>333</v>
      </c>
      <c r="B15" s="1">
        <f>ROUND(SUMIF(存货明细表!B:B,存货跌价准备明细情况!A15,存货明细表!J:J),2)</f>
        <v>0</v>
      </c>
      <c r="C15" s="1">
        <f>ROUND(SUMIF(存货明细表!B:B,A15,存货明细表!K:K),2)</f>
        <v>0</v>
      </c>
      <c r="D15" s="138"/>
      <c r="E15" s="1">
        <f>ROUND(SUMIF(存货明细表!B:B,A15,存货明细表!M:M)+SUMIF(存货明细表!B:B,存货跌价准备明细情况!A15,存货明细表!L:L),2)</f>
        <v>0</v>
      </c>
      <c r="F15" s="138"/>
      <c r="G15" s="1">
        <f t="shared" si="0"/>
        <v>0</v>
      </c>
    </row>
    <row r="16" spans="1:7">
      <c r="A16" s="246" t="s">
        <v>316</v>
      </c>
      <c r="B16" s="1">
        <f>ROUND(SUMIF(存货明细表!B:B,存货跌价准备明细情况!A16,存货明细表!J:J),2)</f>
        <v>0</v>
      </c>
      <c r="C16" s="1">
        <f>ROUND(SUMIF(存货明细表!B:B,A16,存货明细表!K:K),2)</f>
        <v>0</v>
      </c>
      <c r="D16" s="138"/>
      <c r="E16" s="1">
        <f>ROUND(SUMIF(存货明细表!B:B,A16,存货明细表!M:M)+SUMIF(存货明细表!B:B,存货跌价准备明细情况!A16,存货明细表!L:L),2)</f>
        <v>0</v>
      </c>
      <c r="F16" s="138"/>
      <c r="G16" s="1">
        <f t="shared" si="0"/>
        <v>0</v>
      </c>
    </row>
    <row r="17" spans="1:7">
      <c r="A17" s="246" t="s">
        <v>334</v>
      </c>
      <c r="B17" s="1">
        <f>ROUND(SUMIF(存货明细表!B:B,存货跌价准备明细情况!A17,存货明细表!J:J),2)</f>
        <v>0</v>
      </c>
      <c r="C17" s="1">
        <f>ROUND(SUMIF(存货明细表!B:B,A17,存货明细表!K:K),2)</f>
        <v>0</v>
      </c>
      <c r="D17" s="138"/>
      <c r="E17" s="1">
        <f>ROUND(SUMIF(存货明细表!B:B,A17,存货明细表!M:M)+SUMIF(存货明细表!B:B,存货跌价准备明细情况!A17,存货明细表!L:L),2)</f>
        <v>0</v>
      </c>
      <c r="F17" s="138"/>
      <c r="G17" s="1">
        <f t="shared" si="0"/>
        <v>0</v>
      </c>
    </row>
    <row r="18" spans="1:7">
      <c r="A18" s="18" t="s">
        <v>204</v>
      </c>
      <c r="B18" s="1">
        <f t="shared" ref="B18:G18" si="1">ROUND(SUM(B2:B17),2)</f>
        <v>0</v>
      </c>
      <c r="C18" s="1">
        <f t="shared" si="1"/>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codeName="Sheet137">
    <tabColor rgb="FFFFC000"/>
  </sheetPr>
  <dimension ref="A1:D5"/>
  <sheetViews>
    <sheetView workbookViewId="0">
      <selection activeCell="G21" sqref="G21"/>
    </sheetView>
  </sheetViews>
  <sheetFormatPr defaultRowHeight="13.8"/>
  <cols>
    <col min="1" max="4" width="21.88671875" style="18" customWidth="1"/>
    <col min="5" max="16384" width="8.88671875" style="18"/>
  </cols>
  <sheetData>
    <row r="1" spans="1:4" ht="28.8">
      <c r="A1" s="31" t="s">
        <v>28</v>
      </c>
      <c r="B1" s="20" t="s">
        <v>3334</v>
      </c>
      <c r="C1" s="20" t="s">
        <v>3335</v>
      </c>
      <c r="D1" s="20" t="s">
        <v>3336</v>
      </c>
    </row>
    <row r="2" spans="1:4" ht="72">
      <c r="A2" s="19" t="s">
        <v>314</v>
      </c>
      <c r="B2" s="58" t="s">
        <v>343</v>
      </c>
      <c r="C2" s="58" t="s">
        <v>344</v>
      </c>
      <c r="D2" s="58" t="s">
        <v>345</v>
      </c>
    </row>
    <row r="3" spans="1:4" ht="14.4">
      <c r="A3" s="32" t="s">
        <v>322</v>
      </c>
      <c r="B3" s="44"/>
      <c r="C3" s="44"/>
      <c r="D3" s="44"/>
    </row>
    <row r="4" spans="1:4" ht="14.4">
      <c r="A4" s="32" t="s">
        <v>325</v>
      </c>
      <c r="B4" s="44"/>
      <c r="C4" s="44"/>
      <c r="D4" s="44"/>
    </row>
    <row r="5" spans="1:4" ht="14.4">
      <c r="A5" s="32" t="s">
        <v>13</v>
      </c>
      <c r="B5" s="44"/>
      <c r="C5" s="44"/>
      <c r="D5" s="44"/>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codeName="Sheet138">
    <tabColor rgb="FFFFC000"/>
  </sheetPr>
  <dimension ref="A1:E4"/>
  <sheetViews>
    <sheetView workbookViewId="0">
      <selection activeCell="K22" sqref="K22"/>
    </sheetView>
  </sheetViews>
  <sheetFormatPr defaultRowHeight="13.8"/>
  <cols>
    <col min="1" max="1" width="9.77734375" style="18" bestFit="1" customWidth="1"/>
    <col min="2" max="4" width="9.77734375" style="18" customWidth="1"/>
    <col min="5" max="5" width="11.77734375" style="18" customWidth="1"/>
    <col min="6" max="16384" width="8.88671875" style="18"/>
  </cols>
  <sheetData>
    <row r="1" spans="1:5">
      <c r="A1" s="18" t="s">
        <v>28</v>
      </c>
      <c r="B1" s="18" t="s">
        <v>4894</v>
      </c>
      <c r="C1" s="18" t="s">
        <v>4895</v>
      </c>
      <c r="D1" s="150" t="s">
        <v>4896</v>
      </c>
      <c r="E1" s="18" t="s">
        <v>199</v>
      </c>
    </row>
    <row r="2" spans="1:5">
      <c r="A2" s="18" t="s">
        <v>2413</v>
      </c>
      <c r="B2" s="1">
        <f>ROUND(SUMIF(存货明细表!B:B,A2,存货明细表!F:F),2)</f>
        <v>0</v>
      </c>
      <c r="C2" s="1">
        <f>ROUND(SUMIF(存货明细表!B:B,A2,存货明细表!G:G),2)</f>
        <v>0</v>
      </c>
      <c r="D2" s="1">
        <f>ROUND(SUMIF(存货明细表!B:B,A2,存货明细表!H:H),2)</f>
        <v>0</v>
      </c>
      <c r="E2" s="1">
        <f>ROUND(SUMIF(存货明细表!B:B,A2,存货明细表!I:I),2)</f>
        <v>0</v>
      </c>
    </row>
    <row r="3" spans="1:5">
      <c r="A3" s="18" t="s">
        <v>2414</v>
      </c>
      <c r="B3" s="1">
        <f>ROUND(SUMIF(存货明细表!B:B,A3,存货明细表!F:F),2)</f>
        <v>0</v>
      </c>
      <c r="C3" s="1">
        <f>ROUND(SUMIF(存货明细表!B:B,A3,存货明细表!G:G),2)</f>
        <v>0</v>
      </c>
      <c r="D3" s="1">
        <f>ROUND(SUMIF(存货明细表!B:B,A3,存货明细表!H:H),2)</f>
        <v>0</v>
      </c>
      <c r="E3" s="1">
        <f>ROUND(SUMIF(存货明细表!B:B,A3,存货明细表!I:I),2)</f>
        <v>0</v>
      </c>
    </row>
    <row r="4" spans="1:5">
      <c r="A4" s="18" t="s">
        <v>204</v>
      </c>
      <c r="B4" s="1">
        <f>SUM(B2:B3)</f>
        <v>0</v>
      </c>
      <c r="C4" s="1">
        <f t="shared" ref="C4:E4" si="0">SUM(C2:C3)</f>
        <v>0</v>
      </c>
      <c r="D4" s="1">
        <f t="shared" si="0"/>
        <v>0</v>
      </c>
      <c r="E4" s="1">
        <f t="shared" si="0"/>
        <v>0</v>
      </c>
    </row>
  </sheetData>
  <phoneticPr fontId="1" type="noConversion"/>
  <pageMargins left="0.7" right="0.7" top="0.75" bottom="0.75" header="0.3" footer="0.3"/>
  <pageSetup paperSize="9" orientation="portrait" verticalDpi="0"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sheetPr codeName="Sheet139"/>
  <dimension ref="A1:O71"/>
  <sheetViews>
    <sheetView workbookViewId="0">
      <selection activeCell="I3" sqref="I3"/>
    </sheetView>
  </sheetViews>
  <sheetFormatPr defaultRowHeight="13.8"/>
  <sheetData>
    <row r="1" spans="1:15" ht="41.4">
      <c r="A1" s="270" t="s">
        <v>1976</v>
      </c>
      <c r="B1" s="270" t="s">
        <v>2182</v>
      </c>
      <c r="C1" s="270" t="s">
        <v>2226</v>
      </c>
      <c r="D1" s="270" t="s">
        <v>2405</v>
      </c>
      <c r="E1" s="270" t="s">
        <v>199</v>
      </c>
      <c r="F1" s="270" t="s">
        <v>2409</v>
      </c>
      <c r="G1" s="270" t="s">
        <v>2410</v>
      </c>
      <c r="H1" s="270" t="s">
        <v>2411</v>
      </c>
      <c r="I1" s="270" t="s">
        <v>2412</v>
      </c>
      <c r="J1" s="270" t="s">
        <v>2406</v>
      </c>
      <c r="K1" s="270" t="s">
        <v>2407</v>
      </c>
      <c r="L1" s="270" t="s">
        <v>2716</v>
      </c>
      <c r="M1" s="270" t="s">
        <v>2717</v>
      </c>
      <c r="N1" s="270" t="s">
        <v>2408</v>
      </c>
      <c r="O1" s="270" t="s">
        <v>2351</v>
      </c>
    </row>
    <row r="2" spans="1:15">
      <c r="A2" t="str">
        <f>IF(C2&gt;0,基础信息!$B$1,"")</f>
        <v/>
      </c>
      <c r="B2" s="276"/>
      <c r="C2" s="255"/>
      <c r="D2" s="255"/>
      <c r="E2" s="229">
        <f>C2-D2</f>
        <v>0</v>
      </c>
      <c r="F2" s="288"/>
      <c r="G2" s="288"/>
      <c r="H2" s="288"/>
      <c r="I2" s="230">
        <f>F2+G2-H2</f>
        <v>0</v>
      </c>
      <c r="J2" s="255"/>
      <c r="K2" s="255"/>
      <c r="L2" s="255"/>
      <c r="M2" s="255"/>
      <c r="N2" s="229">
        <f>J2+K2-M2-L2</f>
        <v>0</v>
      </c>
      <c r="O2" s="229">
        <f>D2-N2</f>
        <v>0</v>
      </c>
    </row>
    <row r="3" spans="1:15">
      <c r="A3" t="str">
        <f>IF(C3&gt;0,基础信息!$B$1,"")</f>
        <v/>
      </c>
      <c r="B3" s="276"/>
      <c r="C3" s="255"/>
      <c r="D3" s="255"/>
      <c r="E3" s="229">
        <f t="shared" ref="E3:E22" si="0">C3-D3</f>
        <v>0</v>
      </c>
      <c r="F3" s="288"/>
      <c r="G3" s="288"/>
      <c r="H3" s="288"/>
      <c r="I3" s="230">
        <f t="shared" ref="I3:I21" si="1">F3+G3-H3</f>
        <v>0</v>
      </c>
      <c r="J3" s="255"/>
      <c r="K3" s="255"/>
      <c r="L3" s="255"/>
      <c r="M3" s="255"/>
      <c r="N3" s="229">
        <f t="shared" ref="N3:N22" si="2">J3+K3-M3-L3</f>
        <v>0</v>
      </c>
      <c r="O3" s="229">
        <f t="shared" ref="O3:O22" si="3">D3-N3</f>
        <v>0</v>
      </c>
    </row>
    <row r="4" spans="1:15">
      <c r="A4" t="str">
        <f>IF(C4&gt;0,基础信息!$B$1,"")</f>
        <v/>
      </c>
      <c r="B4" s="276"/>
      <c r="C4" s="255"/>
      <c r="D4" s="255"/>
      <c r="E4" s="229">
        <f t="shared" si="0"/>
        <v>0</v>
      </c>
      <c r="F4" s="288"/>
      <c r="G4" s="288"/>
      <c r="H4" s="288"/>
      <c r="I4" s="230">
        <f t="shared" si="1"/>
        <v>0</v>
      </c>
      <c r="J4" s="255"/>
      <c r="K4" s="255"/>
      <c r="L4" s="255"/>
      <c r="M4" s="255"/>
      <c r="N4" s="229">
        <f t="shared" si="2"/>
        <v>0</v>
      </c>
      <c r="O4" s="229">
        <f t="shared" si="3"/>
        <v>0</v>
      </c>
    </row>
    <row r="5" spans="1:15">
      <c r="A5" t="str">
        <f>IF(C5&gt;0,基础信息!$B$1,"")</f>
        <v/>
      </c>
      <c r="B5" s="276"/>
      <c r="C5" s="255"/>
      <c r="D5" s="255"/>
      <c r="E5" s="229">
        <f t="shared" si="0"/>
        <v>0</v>
      </c>
      <c r="F5" s="288"/>
      <c r="G5" s="288"/>
      <c r="H5" s="288"/>
      <c r="I5" s="230">
        <f t="shared" si="1"/>
        <v>0</v>
      </c>
      <c r="J5" s="255"/>
      <c r="K5" s="255"/>
      <c r="L5" s="255"/>
      <c r="M5" s="255"/>
      <c r="N5" s="229">
        <f t="shared" si="2"/>
        <v>0</v>
      </c>
      <c r="O5" s="229">
        <f t="shared" si="3"/>
        <v>0</v>
      </c>
    </row>
    <row r="6" spans="1:15">
      <c r="A6" t="str">
        <f>IF(C6&gt;0,基础信息!$B$1,"")</f>
        <v/>
      </c>
      <c r="B6" s="276"/>
      <c r="C6" s="255"/>
      <c r="D6" s="255"/>
      <c r="E6" s="229">
        <f t="shared" si="0"/>
        <v>0</v>
      </c>
      <c r="F6" s="288"/>
      <c r="G6" s="288"/>
      <c r="H6" s="288"/>
      <c r="I6" s="230">
        <f t="shared" si="1"/>
        <v>0</v>
      </c>
      <c r="J6" s="255"/>
      <c r="K6" s="255"/>
      <c r="L6" s="255"/>
      <c r="M6" s="255"/>
      <c r="N6" s="229">
        <f t="shared" si="2"/>
        <v>0</v>
      </c>
      <c r="O6" s="229">
        <f t="shared" si="3"/>
        <v>0</v>
      </c>
    </row>
    <row r="7" spans="1:15">
      <c r="A7" t="str">
        <f>IF(C7&gt;0,基础信息!$B$1,"")</f>
        <v/>
      </c>
      <c r="B7" s="276"/>
      <c r="C7" s="255"/>
      <c r="D7" s="255"/>
      <c r="E7" s="229">
        <f t="shared" si="0"/>
        <v>0</v>
      </c>
      <c r="F7" s="288"/>
      <c r="G7" s="288"/>
      <c r="H7" s="288"/>
      <c r="I7" s="230">
        <f t="shared" si="1"/>
        <v>0</v>
      </c>
      <c r="J7" s="255"/>
      <c r="K7" s="255"/>
      <c r="L7" s="255"/>
      <c r="M7" s="255"/>
      <c r="N7" s="229">
        <f t="shared" si="2"/>
        <v>0</v>
      </c>
      <c r="O7" s="229">
        <f t="shared" si="3"/>
        <v>0</v>
      </c>
    </row>
    <row r="8" spans="1:15">
      <c r="A8" t="str">
        <f>IF(C8&gt;0,基础信息!$B$1,"")</f>
        <v/>
      </c>
      <c r="B8" s="276"/>
      <c r="C8" s="255"/>
      <c r="D8" s="255"/>
      <c r="E8" s="229">
        <f t="shared" si="0"/>
        <v>0</v>
      </c>
      <c r="F8" s="288"/>
      <c r="G8" s="288"/>
      <c r="H8" s="288"/>
      <c r="I8" s="230">
        <f t="shared" si="1"/>
        <v>0</v>
      </c>
      <c r="J8" s="255"/>
      <c r="K8" s="255"/>
      <c r="L8" s="255"/>
      <c r="M8" s="255"/>
      <c r="N8" s="229">
        <f t="shared" si="2"/>
        <v>0</v>
      </c>
      <c r="O8" s="229">
        <f t="shared" si="3"/>
        <v>0</v>
      </c>
    </row>
    <row r="9" spans="1:15">
      <c r="A9" t="str">
        <f>IF(C9&gt;0,基础信息!$B$1,"")</f>
        <v/>
      </c>
      <c r="B9" s="276"/>
      <c r="C9" s="255"/>
      <c r="D9" s="255"/>
      <c r="E9" s="229">
        <f t="shared" si="0"/>
        <v>0</v>
      </c>
      <c r="F9" s="288"/>
      <c r="G9" s="288"/>
      <c r="H9" s="288"/>
      <c r="I9" s="230">
        <f t="shared" si="1"/>
        <v>0</v>
      </c>
      <c r="J9" s="255"/>
      <c r="K9" s="255"/>
      <c r="L9" s="255"/>
      <c r="M9" s="255"/>
      <c r="N9" s="229">
        <f t="shared" si="2"/>
        <v>0</v>
      </c>
      <c r="O9" s="229">
        <f t="shared" si="3"/>
        <v>0</v>
      </c>
    </row>
    <row r="10" spans="1:15">
      <c r="A10" t="str">
        <f>IF(C10&gt;0,基础信息!$B$1,"")</f>
        <v/>
      </c>
      <c r="B10" s="276"/>
      <c r="C10" s="255"/>
      <c r="D10" s="255"/>
      <c r="E10" s="229">
        <f t="shared" si="0"/>
        <v>0</v>
      </c>
      <c r="F10" s="288"/>
      <c r="G10" s="288"/>
      <c r="H10" s="288"/>
      <c r="I10" s="230">
        <f t="shared" si="1"/>
        <v>0</v>
      </c>
      <c r="J10" s="255"/>
      <c r="K10" s="255"/>
      <c r="L10" s="255"/>
      <c r="M10" s="255"/>
      <c r="N10" s="229">
        <f t="shared" si="2"/>
        <v>0</v>
      </c>
      <c r="O10" s="229">
        <f t="shared" si="3"/>
        <v>0</v>
      </c>
    </row>
    <row r="11" spans="1:15">
      <c r="A11" t="str">
        <f>IF(C11&gt;0,基础信息!$B$1,"")</f>
        <v/>
      </c>
      <c r="B11" s="276"/>
      <c r="C11" s="255"/>
      <c r="D11" s="255"/>
      <c r="E11" s="229">
        <f t="shared" si="0"/>
        <v>0</v>
      </c>
      <c r="F11" s="288"/>
      <c r="G11" s="288"/>
      <c r="H11" s="288"/>
      <c r="I11" s="230">
        <f t="shared" si="1"/>
        <v>0</v>
      </c>
      <c r="J11" s="255"/>
      <c r="K11" s="255"/>
      <c r="L11" s="255"/>
      <c r="M11" s="255"/>
      <c r="N11" s="229">
        <f t="shared" si="2"/>
        <v>0</v>
      </c>
      <c r="O11" s="229">
        <f t="shared" si="3"/>
        <v>0</v>
      </c>
    </row>
    <row r="12" spans="1:15">
      <c r="A12" t="str">
        <f>IF(C12&gt;0,基础信息!$B$1,"")</f>
        <v/>
      </c>
      <c r="B12" s="276"/>
      <c r="C12" s="255"/>
      <c r="D12" s="255"/>
      <c r="E12" s="229">
        <f t="shared" si="0"/>
        <v>0</v>
      </c>
      <c r="F12" s="288"/>
      <c r="G12" s="288"/>
      <c r="H12" s="288"/>
      <c r="I12" s="230">
        <f t="shared" si="1"/>
        <v>0</v>
      </c>
      <c r="J12" s="255"/>
      <c r="K12" s="255"/>
      <c r="L12" s="255"/>
      <c r="M12" s="255"/>
      <c r="N12" s="229">
        <f t="shared" si="2"/>
        <v>0</v>
      </c>
      <c r="O12" s="229">
        <f t="shared" si="3"/>
        <v>0</v>
      </c>
    </row>
    <row r="13" spans="1:15">
      <c r="A13" t="str">
        <f>IF(C13&gt;0,基础信息!$B$1,"")</f>
        <v/>
      </c>
      <c r="B13" s="276"/>
      <c r="C13" s="255"/>
      <c r="D13" s="255"/>
      <c r="E13" s="229">
        <f t="shared" si="0"/>
        <v>0</v>
      </c>
      <c r="F13" s="288"/>
      <c r="G13" s="288"/>
      <c r="H13" s="288"/>
      <c r="I13" s="230">
        <f t="shared" si="1"/>
        <v>0</v>
      </c>
      <c r="J13" s="255"/>
      <c r="K13" s="255"/>
      <c r="L13" s="255"/>
      <c r="M13" s="255"/>
      <c r="N13" s="229">
        <f t="shared" si="2"/>
        <v>0</v>
      </c>
      <c r="O13" s="229">
        <f t="shared" si="3"/>
        <v>0</v>
      </c>
    </row>
    <row r="14" spans="1:15">
      <c r="A14" t="str">
        <f>IF(C14&gt;0,基础信息!$B$1,"")</f>
        <v/>
      </c>
      <c r="B14" s="276"/>
      <c r="C14" s="255"/>
      <c r="D14" s="255"/>
      <c r="E14" s="229">
        <f t="shared" si="0"/>
        <v>0</v>
      </c>
      <c r="F14" s="288"/>
      <c r="G14" s="288"/>
      <c r="H14" s="288"/>
      <c r="I14" s="230">
        <f t="shared" si="1"/>
        <v>0</v>
      </c>
      <c r="J14" s="255"/>
      <c r="K14" s="255"/>
      <c r="L14" s="255"/>
      <c r="M14" s="255"/>
      <c r="N14" s="229">
        <f t="shared" si="2"/>
        <v>0</v>
      </c>
      <c r="O14" s="229">
        <f t="shared" si="3"/>
        <v>0</v>
      </c>
    </row>
    <row r="15" spans="1:15">
      <c r="A15" t="str">
        <f>IF(C15&gt;0,基础信息!$B$1,"")</f>
        <v/>
      </c>
      <c r="B15" s="276"/>
      <c r="C15" s="255"/>
      <c r="D15" s="255"/>
      <c r="E15" s="229">
        <f t="shared" si="0"/>
        <v>0</v>
      </c>
      <c r="F15" s="288"/>
      <c r="G15" s="288"/>
      <c r="H15" s="288"/>
      <c r="I15" s="230">
        <f t="shared" si="1"/>
        <v>0</v>
      </c>
      <c r="J15" s="255"/>
      <c r="K15" s="255"/>
      <c r="L15" s="255"/>
      <c r="M15" s="255"/>
      <c r="N15" s="229">
        <f t="shared" si="2"/>
        <v>0</v>
      </c>
      <c r="O15" s="229">
        <f t="shared" si="3"/>
        <v>0</v>
      </c>
    </row>
    <row r="16" spans="1:15">
      <c r="A16" t="str">
        <f>IF(C16&gt;0,基础信息!$B$1,"")</f>
        <v/>
      </c>
      <c r="B16" s="276"/>
      <c r="C16" s="255"/>
      <c r="D16" s="255"/>
      <c r="E16" s="229">
        <f t="shared" si="0"/>
        <v>0</v>
      </c>
      <c r="F16" s="288"/>
      <c r="G16" s="288"/>
      <c r="H16" s="288"/>
      <c r="I16" s="230">
        <f t="shared" si="1"/>
        <v>0</v>
      </c>
      <c r="J16" s="255"/>
      <c r="K16" s="255"/>
      <c r="L16" s="255"/>
      <c r="M16" s="255"/>
      <c r="N16" s="229">
        <f t="shared" si="2"/>
        <v>0</v>
      </c>
      <c r="O16" s="229">
        <f t="shared" si="3"/>
        <v>0</v>
      </c>
    </row>
    <row r="17" spans="1:15">
      <c r="A17" t="str">
        <f>IF(C17&gt;0,基础信息!$B$1,"")</f>
        <v/>
      </c>
      <c r="B17" s="276"/>
      <c r="C17" s="255"/>
      <c r="D17" s="255"/>
      <c r="E17" s="229">
        <f t="shared" si="0"/>
        <v>0</v>
      </c>
      <c r="F17" s="288"/>
      <c r="G17" s="288"/>
      <c r="H17" s="288"/>
      <c r="I17" s="230">
        <f t="shared" si="1"/>
        <v>0</v>
      </c>
      <c r="J17" s="255"/>
      <c r="K17" s="255"/>
      <c r="L17" s="255"/>
      <c r="M17" s="255"/>
      <c r="N17" s="229">
        <f t="shared" si="2"/>
        <v>0</v>
      </c>
      <c r="O17" s="229">
        <f t="shared" si="3"/>
        <v>0</v>
      </c>
    </row>
    <row r="18" spans="1:15">
      <c r="A18" t="str">
        <f>IF(C18&gt;0,基础信息!$B$1,"")</f>
        <v/>
      </c>
      <c r="B18" s="276"/>
      <c r="C18" s="255"/>
      <c r="D18" s="255"/>
      <c r="E18" s="229">
        <f t="shared" si="0"/>
        <v>0</v>
      </c>
      <c r="F18" s="288"/>
      <c r="G18" s="288"/>
      <c r="H18" s="288"/>
      <c r="I18" s="230">
        <f t="shared" si="1"/>
        <v>0</v>
      </c>
      <c r="J18" s="255"/>
      <c r="K18" s="255"/>
      <c r="L18" s="255"/>
      <c r="M18" s="255"/>
      <c r="N18" s="229">
        <f t="shared" si="2"/>
        <v>0</v>
      </c>
      <c r="O18" s="229">
        <f t="shared" si="3"/>
        <v>0</v>
      </c>
    </row>
    <row r="19" spans="1:15">
      <c r="A19" t="str">
        <f>IF(C19&gt;0,基础信息!$B$1,"")</f>
        <v/>
      </c>
      <c r="B19" s="276"/>
      <c r="C19" s="255"/>
      <c r="D19" s="255"/>
      <c r="E19" s="229">
        <f t="shared" si="0"/>
        <v>0</v>
      </c>
      <c r="F19" s="288"/>
      <c r="G19" s="288"/>
      <c r="H19" s="288"/>
      <c r="I19" s="230">
        <f t="shared" si="1"/>
        <v>0</v>
      </c>
      <c r="J19" s="255"/>
      <c r="K19" s="255"/>
      <c r="L19" s="255"/>
      <c r="M19" s="255"/>
      <c r="N19" s="229">
        <f t="shared" si="2"/>
        <v>0</v>
      </c>
      <c r="O19" s="229">
        <f t="shared" si="3"/>
        <v>0</v>
      </c>
    </row>
    <row r="20" spans="1:15">
      <c r="A20" t="str">
        <f>IF(C20&gt;0,基础信息!$B$1,"")</f>
        <v/>
      </c>
      <c r="B20" s="276"/>
      <c r="C20" s="255"/>
      <c r="D20" s="255"/>
      <c r="E20" s="229">
        <f t="shared" si="0"/>
        <v>0</v>
      </c>
      <c r="F20" s="288"/>
      <c r="G20" s="288"/>
      <c r="H20" s="288"/>
      <c r="I20" s="230">
        <f t="shared" si="1"/>
        <v>0</v>
      </c>
      <c r="J20" s="255"/>
      <c r="K20" s="255"/>
      <c r="L20" s="255"/>
      <c r="M20" s="255"/>
      <c r="N20" s="229">
        <f t="shared" si="2"/>
        <v>0</v>
      </c>
      <c r="O20" s="229">
        <f t="shared" si="3"/>
        <v>0</v>
      </c>
    </row>
    <row r="21" spans="1:15">
      <c r="A21" t="str">
        <f>IF(C21&gt;0,基础信息!$B$1,"")</f>
        <v/>
      </c>
      <c r="B21" s="276"/>
      <c r="C21" s="255"/>
      <c r="D21" s="255"/>
      <c r="E21" s="229">
        <f t="shared" si="0"/>
        <v>0</v>
      </c>
      <c r="F21" s="288"/>
      <c r="G21" s="288"/>
      <c r="H21" s="288"/>
      <c r="I21" s="230">
        <f t="shared" si="1"/>
        <v>0</v>
      </c>
      <c r="J21" s="255"/>
      <c r="K21" s="255"/>
      <c r="L21" s="255"/>
      <c r="M21" s="255"/>
      <c r="N21" s="229">
        <f t="shared" si="2"/>
        <v>0</v>
      </c>
      <c r="O21" s="229">
        <f t="shared" si="3"/>
        <v>0</v>
      </c>
    </row>
    <row r="22" spans="1:15">
      <c r="A22" t="str">
        <f>IF(C22&gt;0,基础信息!$B$1,"")</f>
        <v/>
      </c>
      <c r="E22" s="229">
        <f t="shared" si="0"/>
        <v>0</v>
      </c>
      <c r="F22" s="229"/>
      <c r="G22" s="229"/>
      <c r="H22" s="229"/>
      <c r="N22" s="229">
        <f t="shared" si="2"/>
        <v>0</v>
      </c>
      <c r="O22" s="229">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分类表!$13:$13</xm:f>
          </x14:formula1>
          <xm:sqref>B2:B21</xm:sqref>
        </x14:dataValidation>
      </x14:dataValidations>
    </ext>
  </extLst>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sheetPr codeName="Sheet140"/>
  <dimension ref="A1:D38"/>
  <sheetViews>
    <sheetView workbookViewId="0">
      <pane xSplit="1" ySplit="1" topLeftCell="B29" activePane="bottomRight" state="frozen"/>
      <selection activeCell="D22" sqref="D22"/>
      <selection pane="topRight" activeCell="D22" sqref="D22"/>
      <selection pane="bottomLeft" activeCell="D22" sqref="D22"/>
      <selection pane="bottomRight" activeCell="J58" sqref="J58"/>
    </sheetView>
  </sheetViews>
  <sheetFormatPr defaultRowHeight="13.8"/>
  <cols>
    <col min="1" max="1" width="30.33203125" bestFit="1" customWidth="1"/>
    <col min="2" max="2" width="9.109375" style="229" bestFit="1" customWidth="1"/>
    <col min="3" max="3" width="13.88671875" bestFit="1" customWidth="1"/>
    <col min="4" max="4" width="5.5546875" bestFit="1" customWidth="1"/>
    <col min="10" max="10" width="11.44140625" customWidth="1"/>
  </cols>
  <sheetData>
    <row r="1" spans="1:4">
      <c r="A1" t="s">
        <v>95</v>
      </c>
      <c r="B1" s="229" t="s">
        <v>2478</v>
      </c>
      <c r="C1" t="s">
        <v>2706</v>
      </c>
      <c r="D1" t="s">
        <v>2707</v>
      </c>
    </row>
    <row r="2" spans="1:4">
      <c r="A2" s="261" t="s">
        <v>2691</v>
      </c>
      <c r="B2" s="263">
        <f>存货明细情况!E12</f>
        <v>0</v>
      </c>
    </row>
    <row r="3" spans="1:4">
      <c r="A3" s="261" t="s">
        <v>342</v>
      </c>
      <c r="B3" s="263">
        <f>SUM(B4:B17)</f>
        <v>0</v>
      </c>
    </row>
    <row r="4" spans="1:4">
      <c r="A4" t="s">
        <v>2693</v>
      </c>
      <c r="B4" s="288"/>
    </row>
    <row r="5" spans="1:4">
      <c r="A5" t="s">
        <v>2694</v>
      </c>
      <c r="B5" s="229">
        <f>薪酬校验表!B7</f>
        <v>0</v>
      </c>
    </row>
    <row r="6" spans="1:4">
      <c r="A6" t="s">
        <v>2695</v>
      </c>
      <c r="B6" s="229">
        <f>折旧及摊销校验表!B7</f>
        <v>0</v>
      </c>
    </row>
    <row r="7" spans="1:4">
      <c r="A7" t="s">
        <v>2696</v>
      </c>
      <c r="B7" s="229">
        <f>SUM(存货明细表!G:G)</f>
        <v>0</v>
      </c>
    </row>
    <row r="8" spans="1:4">
      <c r="A8" t="s">
        <v>2704</v>
      </c>
      <c r="B8" s="288"/>
    </row>
    <row r="9" spans="1:4">
      <c r="A9" t="s">
        <v>2705</v>
      </c>
      <c r="B9" s="288"/>
    </row>
    <row r="10" spans="1:4">
      <c r="B10" s="288"/>
    </row>
    <row r="11" spans="1:4">
      <c r="B11" s="288"/>
    </row>
    <row r="12" spans="1:4">
      <c r="B12" s="288"/>
    </row>
    <row r="13" spans="1:4">
      <c r="B13" s="288"/>
    </row>
    <row r="14" spans="1:4">
      <c r="B14" s="288"/>
    </row>
    <row r="15" spans="1:4">
      <c r="B15" s="288"/>
    </row>
    <row r="16" spans="1:4">
      <c r="B16" s="288"/>
    </row>
    <row r="18" spans="1:2">
      <c r="A18" s="261" t="s">
        <v>335</v>
      </c>
      <c r="B18" s="263">
        <f>SUM(B19:B29)</f>
        <v>0</v>
      </c>
    </row>
    <row r="19" spans="1:2">
      <c r="A19" t="s">
        <v>2697</v>
      </c>
      <c r="B19" s="288"/>
    </row>
    <row r="20" spans="1:2">
      <c r="A20" t="s">
        <v>2698</v>
      </c>
      <c r="B20" s="288"/>
    </row>
    <row r="21" spans="1:2">
      <c r="A21" t="s">
        <v>2699</v>
      </c>
      <c r="B21" s="288"/>
    </row>
    <row r="22" spans="1:2">
      <c r="A22" t="s">
        <v>2700</v>
      </c>
      <c r="B22" s="288"/>
    </row>
    <row r="23" spans="1:2">
      <c r="A23" t="s">
        <v>2701</v>
      </c>
      <c r="B23" s="288"/>
    </row>
    <row r="24" spans="1:2">
      <c r="A24" t="s">
        <v>2702</v>
      </c>
      <c r="B24" s="288"/>
    </row>
    <row r="25" spans="1:2">
      <c r="A25" t="s">
        <v>2703</v>
      </c>
      <c r="B25" s="288"/>
    </row>
    <row r="30" spans="1:2">
      <c r="A30" s="261" t="s">
        <v>2692</v>
      </c>
      <c r="B30" s="263">
        <f>存货明细情况!B12</f>
        <v>0</v>
      </c>
    </row>
    <row r="31" spans="1:2">
      <c r="A31" s="261" t="s">
        <v>2351</v>
      </c>
      <c r="B31" s="263">
        <f>B2+B3-B18-B30</f>
        <v>0</v>
      </c>
    </row>
    <row r="32" spans="1:2">
      <c r="A32" s="261" t="s">
        <v>2718</v>
      </c>
      <c r="B32" s="263">
        <f>SUM(B33:B47)</f>
        <v>0</v>
      </c>
    </row>
    <row r="33" spans="1:2">
      <c r="A33" t="s">
        <v>2691</v>
      </c>
      <c r="B33" s="229">
        <f>SUM(存货明细情况!E12)</f>
        <v>0</v>
      </c>
    </row>
    <row r="34" spans="1:2">
      <c r="A34" t="s">
        <v>2712</v>
      </c>
      <c r="B34" s="229">
        <f>-存货明细情况!B12</f>
        <v>0</v>
      </c>
    </row>
    <row r="35" spans="1:2">
      <c r="A35" s="290" t="s">
        <v>2713</v>
      </c>
      <c r="B35" s="229">
        <f>-B21</f>
        <v>0</v>
      </c>
    </row>
    <row r="36" spans="1:2">
      <c r="A36" s="290" t="s">
        <v>2714</v>
      </c>
      <c r="B36" s="229">
        <f>-B22</f>
        <v>0</v>
      </c>
    </row>
    <row r="37" spans="1:2">
      <c r="A37" s="290" t="s">
        <v>2715</v>
      </c>
      <c r="B37" s="229">
        <f>B7</f>
        <v>0</v>
      </c>
    </row>
    <row r="38" spans="1:2">
      <c r="A38" s="290" t="s">
        <v>2719</v>
      </c>
      <c r="B38" s="229">
        <f>-SUM(存货明细表!M:M)</f>
        <v>0</v>
      </c>
    </row>
  </sheetData>
  <phoneticPr fontId="1"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codeName="Sheet141">
    <tabColor rgb="FFFFC000"/>
  </sheetPr>
  <dimension ref="A1:G15"/>
  <sheetViews>
    <sheetView workbookViewId="0">
      <selection activeCell="F15" sqref="F15"/>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v>
      </c>
      <c r="B1" s="32" t="s">
        <v>245</v>
      </c>
      <c r="C1" s="32" t="s">
        <v>271</v>
      </c>
      <c r="D1" s="32" t="s">
        <v>216</v>
      </c>
      <c r="E1" s="32" t="s">
        <v>246</v>
      </c>
      <c r="F1" s="32" t="s">
        <v>274</v>
      </c>
      <c r="G1" s="32" t="s">
        <v>221</v>
      </c>
    </row>
    <row r="2" spans="1:7" ht="14.4">
      <c r="A2" s="19" t="s">
        <v>240</v>
      </c>
      <c r="B2" s="293">
        <f>ROUND(SUMIF(合同资产明细表!C:C,"单项金额重大并单项计提坏账准备",合同资产明细表!E:E),2)</f>
        <v>0</v>
      </c>
      <c r="C2" s="293">
        <f>ROUND(SUMIF(合同资产明细表!C:C,"单项金额重大并单项计提坏账准备",合同资产明细表!O:O),2)</f>
        <v>0</v>
      </c>
      <c r="D2" s="68">
        <f>ROUND(B2-C2,2)</f>
        <v>0</v>
      </c>
      <c r="E2" s="267"/>
      <c r="F2" s="267"/>
      <c r="G2" s="68">
        <f>ROUND(E2-F2,2)</f>
        <v>0</v>
      </c>
    </row>
    <row r="3" spans="1:7" ht="14.4">
      <c r="A3" s="19" t="s">
        <v>241</v>
      </c>
      <c r="B3" s="293">
        <f>ROUND(SUMIF(合同资产明细表!C:C,"按信用风险特征组合计提坏账准备",合同资产明细表!E:E),2)</f>
        <v>0</v>
      </c>
      <c r="C3" s="293">
        <f>ROUND(SUMIF(合同资产明细表!C:C,"按信用风险特征组合计提坏账准备",合同资产明细表!O:O),2)</f>
        <v>0</v>
      </c>
      <c r="D3" s="68">
        <f>ROUND(B3-C3,2)</f>
        <v>0</v>
      </c>
      <c r="E3" s="267"/>
      <c r="F3" s="267"/>
      <c r="G3" s="68">
        <f>ROUND(E3-F3,2)</f>
        <v>0</v>
      </c>
    </row>
    <row r="4" spans="1:7" ht="14.4">
      <c r="A4" s="31" t="s">
        <v>204</v>
      </c>
      <c r="B4" s="68">
        <f t="shared" ref="B4:G4" si="0">ROUND(SUM(B2:B3),2)</f>
        <v>0</v>
      </c>
      <c r="C4" s="68">
        <f t="shared" si="0"/>
        <v>0</v>
      </c>
      <c r="D4" s="68">
        <f t="shared" si="0"/>
        <v>0</v>
      </c>
      <c r="E4" s="68">
        <f t="shared" si="0"/>
        <v>0</v>
      </c>
      <c r="F4" s="68">
        <f t="shared" si="0"/>
        <v>0</v>
      </c>
      <c r="G4" s="68">
        <f t="shared" si="0"/>
        <v>0</v>
      </c>
    </row>
    <row r="15" spans="1:7">
      <c r="B15" s="133"/>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codeName="Sheet142">
    <tabColor rgb="FFFFC000"/>
  </sheetPr>
  <dimension ref="A1:B6"/>
  <sheetViews>
    <sheetView workbookViewId="0">
      <selection activeCell="G19" sqref="G19"/>
    </sheetView>
  </sheetViews>
  <sheetFormatPr defaultRowHeight="13.8"/>
  <cols>
    <col min="1" max="1" width="38" style="18" bestFit="1" customWidth="1"/>
    <col min="2" max="2" width="16.88671875" style="18" bestFit="1" customWidth="1"/>
    <col min="3" max="16384" width="8.88671875" style="18"/>
  </cols>
  <sheetData>
    <row r="1" spans="1:2">
      <c r="A1" s="62" t="s">
        <v>95</v>
      </c>
      <c r="B1" s="62" t="s">
        <v>348</v>
      </c>
    </row>
    <row r="2" spans="1:2">
      <c r="A2" s="18" t="s">
        <v>349</v>
      </c>
      <c r="B2" s="286">
        <f>ROUND(合同资产情况!E4,2)</f>
        <v>0</v>
      </c>
    </row>
    <row r="3" spans="1:2">
      <c r="A3" s="18" t="s">
        <v>350</v>
      </c>
      <c r="B3" s="286">
        <f>ROUND(SUM(合同履约明细表!L:L),2)</f>
        <v>0</v>
      </c>
    </row>
    <row r="4" spans="1:2">
      <c r="A4" s="18" t="s">
        <v>351</v>
      </c>
      <c r="B4" s="286">
        <f>ROUND(SUM(合同履约明细表!G:G),2)</f>
        <v>0</v>
      </c>
    </row>
    <row r="5" spans="1:2">
      <c r="A5" s="18" t="s">
        <v>352</v>
      </c>
      <c r="B5" s="286">
        <f>ROUND(SUM(合同履约明细表!M:M),2)</f>
        <v>0</v>
      </c>
    </row>
    <row r="6" spans="1:2">
      <c r="A6" s="18" t="s">
        <v>353</v>
      </c>
      <c r="B6" s="63">
        <f>ROUND(SUM(B2:B5),2)</f>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sheetPr codeName="Sheet12"/>
  <dimension ref="A1:C54"/>
  <sheetViews>
    <sheetView workbookViewId="0">
      <pane xSplit="1" ySplit="1" topLeftCell="B2" activePane="bottomRight" state="frozen"/>
      <selection pane="topRight" activeCell="B1" sqref="B1"/>
      <selection pane="bottomLeft" activeCell="A2" sqref="A2"/>
      <selection pane="bottomRight" activeCell="C51" sqref="C51"/>
    </sheetView>
  </sheetViews>
  <sheetFormatPr defaultRowHeight="13.8"/>
  <cols>
    <col min="1" max="1" width="57.77734375" style="18" bestFit="1" customWidth="1"/>
    <col min="2" max="3" width="20.44140625" style="18" bestFit="1" customWidth="1"/>
    <col min="4" max="16384" width="8.88671875" style="18"/>
  </cols>
  <sheetData>
    <row r="1" spans="1:3" ht="14.4">
      <c r="A1" s="87" t="s">
        <v>1292</v>
      </c>
      <c r="B1" s="88" t="s">
        <v>278</v>
      </c>
      <c r="C1" s="89" t="s">
        <v>397</v>
      </c>
    </row>
    <row r="2" spans="1:3" ht="14.4">
      <c r="A2" s="90" t="s">
        <v>1293</v>
      </c>
      <c r="B2" s="89"/>
      <c r="C2" s="89"/>
    </row>
    <row r="3" spans="1:3" ht="14.4">
      <c r="A3" s="91" t="s">
        <v>1294</v>
      </c>
      <c r="B3" s="100">
        <f>ROUND(本期TB!H3,2)</f>
        <v>0</v>
      </c>
      <c r="C3" s="100">
        <f>ROUND(上期TB!H3,2)</f>
        <v>0</v>
      </c>
    </row>
    <row r="4" spans="1:3" ht="14.4">
      <c r="A4" s="93" t="s">
        <v>1295</v>
      </c>
      <c r="B4" s="100">
        <f>ROUND(本期TB!H7,2)</f>
        <v>0</v>
      </c>
      <c r="C4" s="100">
        <f>ROUND(上期TB!H7,2)</f>
        <v>0</v>
      </c>
    </row>
    <row r="5" spans="1:3" ht="14.4">
      <c r="A5" s="93" t="s">
        <v>1296</v>
      </c>
      <c r="B5" s="100">
        <f>ROUND(本期TB!H8,2)</f>
        <v>0</v>
      </c>
      <c r="C5" s="100">
        <f>ROUND(上期TB!H8,2)</f>
        <v>0</v>
      </c>
    </row>
    <row r="6" spans="1:3" ht="14.4">
      <c r="A6" s="94" t="s">
        <v>1297</v>
      </c>
      <c r="B6" s="100">
        <f>ROUND(本期TB!H9,2)</f>
        <v>0</v>
      </c>
      <c r="C6" s="100">
        <f>ROUND(上期TB!H9,2)</f>
        <v>0</v>
      </c>
    </row>
    <row r="7" spans="1:3" ht="14.4">
      <c r="A7" s="91" t="s">
        <v>1298</v>
      </c>
      <c r="B7" s="100">
        <f>ROUND(本期TB!H10,2)</f>
        <v>0</v>
      </c>
      <c r="C7" s="100">
        <f>ROUND(上期TB!H10,2)</f>
        <v>0</v>
      </c>
    </row>
    <row r="8" spans="1:3" ht="14.4">
      <c r="A8" s="94" t="s">
        <v>1299</v>
      </c>
      <c r="B8" s="100">
        <f>ROUND(本期TB!H11,2)</f>
        <v>0</v>
      </c>
      <c r="C8" s="100">
        <f>ROUND(上期TB!H11,2)</f>
        <v>0</v>
      </c>
    </row>
    <row r="9" spans="1:3" ht="14.4">
      <c r="A9" s="99" t="s">
        <v>1300</v>
      </c>
      <c r="B9" s="100">
        <f>ROUND(本期TB!H14,2)</f>
        <v>0</v>
      </c>
      <c r="C9" s="100">
        <f>ROUND(上期TB!H14,2)</f>
        <v>0</v>
      </c>
    </row>
    <row r="10" spans="1:3" ht="14.4">
      <c r="A10" s="99" t="s">
        <v>1301</v>
      </c>
      <c r="B10" s="100">
        <f>ROUND(本期TB!H17,2)</f>
        <v>0</v>
      </c>
      <c r="C10" s="100">
        <f>ROUND(上期TB!H17,2)</f>
        <v>0</v>
      </c>
    </row>
    <row r="11" spans="1:3" ht="14.4">
      <c r="A11" s="99" t="s">
        <v>1302</v>
      </c>
      <c r="B11" s="100">
        <f>ROUND(本期TB!H18,2)</f>
        <v>0</v>
      </c>
      <c r="C11" s="100">
        <f>ROUND(上期TB!H18,2)</f>
        <v>0</v>
      </c>
    </row>
    <row r="12" spans="1:3" ht="14.4">
      <c r="A12" s="91" t="s">
        <v>1303</v>
      </c>
      <c r="B12" s="100">
        <f>ROUND(本期TB!H19,2)</f>
        <v>0</v>
      </c>
      <c r="C12" s="100">
        <f>ROUND(上期TB!H19,2)</f>
        <v>0</v>
      </c>
    </row>
    <row r="13" spans="1:3" ht="14.4">
      <c r="A13" s="93" t="s">
        <v>1304</v>
      </c>
      <c r="B13" s="100">
        <f>ROUND(本期TB!H20,2)</f>
        <v>0</v>
      </c>
      <c r="C13" s="100">
        <f>ROUND(上期TB!H20,2)</f>
        <v>0</v>
      </c>
    </row>
    <row r="14" spans="1:3" ht="14.4">
      <c r="A14" s="93" t="s">
        <v>1305</v>
      </c>
      <c r="B14" s="100">
        <f>ROUND(本期TB!H21,2)</f>
        <v>0</v>
      </c>
      <c r="C14" s="100">
        <f>ROUND(上期TB!H21,2)</f>
        <v>0</v>
      </c>
    </row>
    <row r="15" spans="1:3" ht="14.4">
      <c r="A15" s="93" t="s">
        <v>1306</v>
      </c>
      <c r="B15" s="100">
        <f>ROUND(本期TB!H22,2)</f>
        <v>0</v>
      </c>
      <c r="C15" s="100">
        <f>ROUND(上期TB!H22,2)</f>
        <v>0</v>
      </c>
    </row>
    <row r="16" spans="1:3" ht="14.4">
      <c r="A16" s="91" t="s">
        <v>1307</v>
      </c>
      <c r="B16" s="100">
        <f>ROUND(本期TB!H25+本期TB!H28+本期TB!H31,2)</f>
        <v>0</v>
      </c>
      <c r="C16" s="100">
        <f>ROUND(上期TB!H25+上期TB!H28+上期TB!H31,2)</f>
        <v>0</v>
      </c>
    </row>
    <row r="17" spans="1:3" ht="14.4">
      <c r="A17" s="91" t="s">
        <v>3744</v>
      </c>
      <c r="B17" s="100"/>
      <c r="C17" s="100"/>
    </row>
    <row r="18" spans="1:3" ht="14.4">
      <c r="A18" s="93" t="s">
        <v>1308</v>
      </c>
      <c r="B18" s="100">
        <f>ROUND(本期TB!H32,2)</f>
        <v>0</v>
      </c>
      <c r="C18" s="100">
        <f>ROUND(上期TB!H32,2)</f>
        <v>0</v>
      </c>
    </row>
    <row r="19" spans="1:3" ht="14.4">
      <c r="A19" s="91" t="s">
        <v>1309</v>
      </c>
      <c r="B19" s="100">
        <f>ROUND(本期TB!H50,2)</f>
        <v>0</v>
      </c>
      <c r="C19" s="100">
        <f>ROUND(上期TB!H50,2)</f>
        <v>0</v>
      </c>
    </row>
    <row r="20" spans="1:3" ht="14.4">
      <c r="A20" s="95" t="s">
        <v>1310</v>
      </c>
      <c r="B20" s="100"/>
      <c r="C20" s="100"/>
    </row>
    <row r="21" spans="1:3" ht="14.4">
      <c r="A21" s="95" t="s">
        <v>1311</v>
      </c>
      <c r="B21" s="100"/>
      <c r="C21" s="100"/>
    </row>
    <row r="22" spans="1:3" ht="14.4">
      <c r="A22" s="95" t="s">
        <v>1312</v>
      </c>
      <c r="B22" s="100">
        <f>ROUND(本期TB!H53,2)</f>
        <v>0</v>
      </c>
      <c r="C22" s="100">
        <f>ROUND(上期TB!H53,2)</f>
        <v>0</v>
      </c>
    </row>
    <row r="23" spans="1:3" ht="14.4">
      <c r="A23" s="94" t="s">
        <v>1313</v>
      </c>
      <c r="B23" s="100">
        <f>ROUND(本期TB!H54,2)</f>
        <v>0</v>
      </c>
      <c r="C23" s="100">
        <f>ROUND(上期TB!H54,2)</f>
        <v>0</v>
      </c>
    </row>
    <row r="24" spans="1:3" ht="14.4">
      <c r="A24" s="94" t="s">
        <v>1314</v>
      </c>
      <c r="B24" s="100">
        <f>ROUND(本期TB!H55,2)</f>
        <v>0</v>
      </c>
      <c r="C24" s="100">
        <f>ROUND(上期TB!H55,2)</f>
        <v>0</v>
      </c>
    </row>
    <row r="25" spans="1:3" ht="14.4">
      <c r="A25" s="91" t="s">
        <v>1315</v>
      </c>
      <c r="B25" s="100">
        <f>ROUND(本期TB!H56,2)</f>
        <v>0</v>
      </c>
      <c r="C25" s="100">
        <f>ROUND(上期TB!H56,2)</f>
        <v>0</v>
      </c>
    </row>
    <row r="26" spans="1:3" ht="14.4">
      <c r="A26" s="96" t="s">
        <v>1316</v>
      </c>
      <c r="B26" s="101">
        <f>ROUND(SUM(B3:B19)+SUM(B22:B25),2)</f>
        <v>0</v>
      </c>
      <c r="C26" s="101">
        <f>ROUND(SUM(C3:C19)+SUM(C22:C25),2)</f>
        <v>0</v>
      </c>
    </row>
    <row r="27" spans="1:3" ht="14.4">
      <c r="A27" s="90" t="s">
        <v>1317</v>
      </c>
      <c r="B27" s="102"/>
      <c r="C27" s="102"/>
    </row>
    <row r="28" spans="1:3" ht="14.4">
      <c r="A28" s="93" t="s">
        <v>1318</v>
      </c>
      <c r="B28" s="102">
        <f>ROUND(本期TB!H59,2)</f>
        <v>0</v>
      </c>
      <c r="C28" s="102">
        <f>ROUND(上期TB!H59,2)</f>
        <v>0</v>
      </c>
    </row>
    <row r="29" spans="1:3" ht="14.4">
      <c r="A29" s="94" t="s">
        <v>1319</v>
      </c>
      <c r="B29" s="102">
        <f>ROUND(本期TB!H60,2)</f>
        <v>0</v>
      </c>
      <c r="C29" s="102">
        <f>ROUND(上期TB!H60,2)</f>
        <v>0</v>
      </c>
    </row>
    <row r="30" spans="1:3" ht="14.4">
      <c r="A30" s="94" t="s">
        <v>1320</v>
      </c>
      <c r="B30" s="100">
        <f>ROUND(本期TB!H63,2)</f>
        <v>0</v>
      </c>
      <c r="C30" s="100">
        <f>ROUND(上期TB!H63,2)</f>
        <v>0</v>
      </c>
    </row>
    <row r="31" spans="1:3" ht="14.4">
      <c r="A31" s="94" t="s">
        <v>1321</v>
      </c>
      <c r="B31" s="100">
        <f>ROUND(本期TB!H66,2)</f>
        <v>0</v>
      </c>
      <c r="C31" s="100">
        <f>ROUND(上期TB!H66,2)</f>
        <v>0</v>
      </c>
    </row>
    <row r="32" spans="1:3" ht="14.4">
      <c r="A32" s="94" t="s">
        <v>1322</v>
      </c>
      <c r="B32" s="100">
        <f>ROUND(本期TB!H67,2)</f>
        <v>0</v>
      </c>
      <c r="C32" s="100">
        <f>ROUND(上期TB!H67,2)</f>
        <v>0</v>
      </c>
    </row>
    <row r="33" spans="1:3" ht="14.4">
      <c r="A33" s="94" t="s">
        <v>1323</v>
      </c>
      <c r="B33" s="100">
        <f>ROUND(本期TB!H71,2)</f>
        <v>0</v>
      </c>
      <c r="C33" s="100">
        <f>ROUND(上期TB!H71,2)</f>
        <v>0</v>
      </c>
    </row>
    <row r="34" spans="1:3" ht="14.4">
      <c r="A34" s="94" t="s">
        <v>1324</v>
      </c>
      <c r="B34" s="100">
        <f>ROUND(本期TB!H74,2)</f>
        <v>0</v>
      </c>
      <c r="C34" s="100">
        <f>ROUND(上期TB!H74,2)</f>
        <v>0</v>
      </c>
    </row>
    <row r="35" spans="1:3" ht="14.4">
      <c r="A35" s="94" t="s">
        <v>1325</v>
      </c>
      <c r="B35" s="100">
        <f>ROUND(本期TB!H75,2)</f>
        <v>0</v>
      </c>
      <c r="C35" s="100">
        <f>ROUND(上期TB!H75,2)</f>
        <v>0</v>
      </c>
    </row>
    <row r="36" spans="1:3" ht="14.4">
      <c r="A36" s="94" t="s">
        <v>1326</v>
      </c>
      <c r="B36" s="100">
        <f>ROUND(本期TB!H76,2)</f>
        <v>0</v>
      </c>
      <c r="C36" s="100">
        <f>ROUND(上期TB!H76,2)</f>
        <v>0</v>
      </c>
    </row>
    <row r="37" spans="1:3" ht="14.4">
      <c r="A37" s="94" t="s">
        <v>1327</v>
      </c>
      <c r="B37" s="100">
        <f>ROUND(本期TB!H80,2)</f>
        <v>0</v>
      </c>
      <c r="C37" s="100">
        <f>ROUND(上期TB!H80,2)</f>
        <v>0</v>
      </c>
    </row>
    <row r="38" spans="1:3" ht="14.4">
      <c r="A38" s="94" t="s">
        <v>1328</v>
      </c>
      <c r="B38" s="100">
        <f>ROUND(本期TB!H84+本期TB!H85,2)</f>
        <v>0</v>
      </c>
      <c r="C38" s="100">
        <f>ROUND(上期TB!H84+本期TB!H85,2)</f>
        <v>0</v>
      </c>
    </row>
    <row r="39" spans="1:3" ht="14.4">
      <c r="A39" s="94" t="s">
        <v>3745</v>
      </c>
      <c r="B39" s="100"/>
      <c r="C39" s="100"/>
    </row>
    <row r="40" spans="1:3" ht="14.4">
      <c r="A40" s="94" t="s">
        <v>3746</v>
      </c>
      <c r="B40" s="100"/>
      <c r="C40" s="100"/>
    </row>
    <row r="41" spans="1:3" ht="14.4">
      <c r="A41" s="94" t="s">
        <v>3747</v>
      </c>
      <c r="B41" s="100"/>
      <c r="C41" s="100"/>
    </row>
    <row r="42" spans="1:3" ht="14.4">
      <c r="A42" s="99" t="s">
        <v>1329</v>
      </c>
      <c r="B42" s="100">
        <f>ROUND(本期TB!H88+本期TB!H89,2)</f>
        <v>0</v>
      </c>
      <c r="C42" s="100">
        <f>ROUND(上期TB!H88+上期TB!H89,2)</f>
        <v>0</v>
      </c>
    </row>
    <row r="43" spans="1:3" ht="14.4">
      <c r="A43" s="94" t="s">
        <v>1330</v>
      </c>
      <c r="B43" s="100">
        <f>ROUND(本期TB!H90,2)</f>
        <v>0</v>
      </c>
      <c r="C43" s="100">
        <f>ROUND(上期TB!H90,2)</f>
        <v>0</v>
      </c>
    </row>
    <row r="44" spans="1:3" ht="14.4">
      <c r="A44" s="94" t="s">
        <v>1331</v>
      </c>
      <c r="B44" s="100">
        <f>ROUND(本期TB!H91,2)</f>
        <v>0</v>
      </c>
      <c r="C44" s="100">
        <f>ROUND(上期TB!H91,2)</f>
        <v>0</v>
      </c>
    </row>
    <row r="45" spans="1:3" ht="14.4">
      <c r="A45" s="94" t="s">
        <v>1332</v>
      </c>
      <c r="B45" s="100">
        <f>ROUND(本期TB!H95,2)</f>
        <v>0</v>
      </c>
      <c r="C45" s="100">
        <f>ROUND(上期TB!H95,2)</f>
        <v>0</v>
      </c>
    </row>
    <row r="46" spans="1:3" ht="14.4">
      <c r="A46" s="99" t="s">
        <v>1333</v>
      </c>
      <c r="B46" s="100">
        <f>ROUND(本期TB!H99,2)</f>
        <v>0</v>
      </c>
      <c r="C46" s="100">
        <f>ROUND(上期TB!H99,2)</f>
        <v>0</v>
      </c>
    </row>
    <row r="47" spans="1:3" ht="14.4">
      <c r="A47" s="94" t="s">
        <v>1334</v>
      </c>
      <c r="B47" s="100">
        <f>ROUND(本期TB!H100,2)</f>
        <v>0</v>
      </c>
      <c r="C47" s="100">
        <f>ROUND(上期TB!H100,2)</f>
        <v>0</v>
      </c>
    </row>
    <row r="48" spans="1:3" ht="14.4">
      <c r="A48" s="94" t="s">
        <v>1335</v>
      </c>
      <c r="B48" s="100">
        <f>ROUND(本期TB!H103,2)</f>
        <v>0</v>
      </c>
      <c r="C48" s="100">
        <f>ROUND(上期TB!H103,2)</f>
        <v>0</v>
      </c>
    </row>
    <row r="49" spans="1:3" ht="14.4">
      <c r="A49" s="99" t="s">
        <v>1336</v>
      </c>
      <c r="B49" s="100">
        <f>ROUND(本期TB!H104,2)</f>
        <v>0</v>
      </c>
      <c r="C49" s="100">
        <f>ROUND(上期TB!H104,2)</f>
        <v>0</v>
      </c>
    </row>
    <row r="50" spans="1:3" ht="14.4">
      <c r="A50" s="99" t="s">
        <v>1337</v>
      </c>
      <c r="B50" s="100">
        <f>ROUND(本期TB!H105,2)</f>
        <v>0</v>
      </c>
      <c r="C50" s="100">
        <f>ROUND(上期TB!H105,2)</f>
        <v>0</v>
      </c>
    </row>
    <row r="51" spans="1:3" ht="14.4">
      <c r="A51" s="99" t="s">
        <v>1338</v>
      </c>
      <c r="B51" s="100">
        <f>ROUND(本期TB!H106,2)</f>
        <v>0</v>
      </c>
      <c r="C51" s="100">
        <f>ROUND(上期TB!H106,2)</f>
        <v>0</v>
      </c>
    </row>
    <row r="52" spans="1:3" ht="14.4">
      <c r="A52" s="95" t="s">
        <v>1339</v>
      </c>
      <c r="B52" s="102"/>
      <c r="C52" s="102"/>
    </row>
    <row r="53" spans="1:3" ht="14.4">
      <c r="A53" s="103" t="s">
        <v>1340</v>
      </c>
      <c r="B53" s="101">
        <f>ROUND(SUM(B28:B38,B42:B51),2)</f>
        <v>0</v>
      </c>
      <c r="C53" s="101">
        <f>ROUND(SUM(C28:C38,C42:C51),2)</f>
        <v>0</v>
      </c>
    </row>
    <row r="54" spans="1:3" ht="14.4">
      <c r="A54" s="96" t="s">
        <v>1341</v>
      </c>
      <c r="B54" s="104">
        <f>ROUND(B53+B26,2)</f>
        <v>0</v>
      </c>
      <c r="C54" s="104">
        <f>ROUND(C53+C26,2)</f>
        <v>0</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codeName="Sheet143">
    <tabColor rgb="FFFFC000"/>
  </sheetPr>
  <dimension ref="A1:E5"/>
  <sheetViews>
    <sheetView workbookViewId="0">
      <selection activeCell="F11" sqref="F11"/>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222</v>
      </c>
      <c r="B1" s="18" t="s">
        <v>3346</v>
      </c>
      <c r="C1" s="18" t="s">
        <v>213</v>
      </c>
      <c r="D1" s="18" t="s">
        <v>223</v>
      </c>
      <c r="E1" s="18" t="s">
        <v>224</v>
      </c>
    </row>
    <row r="2" spans="1:5">
      <c r="A2" s="246"/>
      <c r="B2" s="246"/>
      <c r="C2" s="246"/>
      <c r="D2" s="18" t="e">
        <f>C2/B2*100</f>
        <v>#DIV/0!</v>
      </c>
      <c r="E2" s="246"/>
    </row>
    <row r="3" spans="1:5">
      <c r="A3" s="246"/>
      <c r="B3" s="246"/>
      <c r="C3" s="246"/>
      <c r="D3" s="18" t="e">
        <f t="shared" ref="D3:D4" si="0">C3/B3*100</f>
        <v>#DIV/0!</v>
      </c>
      <c r="E3" s="246"/>
    </row>
    <row r="4" spans="1:5">
      <c r="A4" s="246"/>
      <c r="B4" s="246"/>
      <c r="C4" s="246"/>
      <c r="D4" s="18" t="e">
        <f t="shared" si="0"/>
        <v>#DIV/0!</v>
      </c>
      <c r="E4" s="246"/>
    </row>
    <row r="5" spans="1:5">
      <c r="A5" s="18" t="s">
        <v>262</v>
      </c>
      <c r="B5" s="18">
        <f>ROUND(SUM(B2:B4),2)</f>
        <v>0</v>
      </c>
      <c r="C5" s="18">
        <f>ROUND(SUM(C2:C4),2)</f>
        <v>0</v>
      </c>
      <c r="D5" s="18" t="e">
        <f t="shared" ref="D5" si="1">SUM(D2:D4)</f>
        <v>#DIV/0!</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codeName="Sheet144">
    <tabColor rgb="FFFFC000"/>
  </sheetPr>
  <dimension ref="A1:E6"/>
  <sheetViews>
    <sheetView workbookViewId="0">
      <selection activeCell="E15" sqref="E15"/>
    </sheetView>
  </sheetViews>
  <sheetFormatPr defaultRowHeight="13.8"/>
  <cols>
    <col min="1" max="1" width="38.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95</v>
      </c>
      <c r="B1" s="18" t="s">
        <v>212</v>
      </c>
      <c r="C1" s="18" t="s">
        <v>213</v>
      </c>
      <c r="D1" s="18" t="s">
        <v>223</v>
      </c>
      <c r="E1" s="18" t="s">
        <v>224</v>
      </c>
    </row>
    <row r="2" spans="1:5">
      <c r="A2" s="137" t="s">
        <v>3437</v>
      </c>
      <c r="B2" s="136">
        <f>ROUND(SUMIF(合同资产明细表!D:D,A2,合同资产明细表!E:E),2)</f>
        <v>0</v>
      </c>
      <c r="C2" s="136">
        <f>ROUND(SUMIF(合同资产明细表!D:D,采用组合计提坏账准备的合同资产!A2,合同资产明细表!O:O),2)</f>
        <v>0</v>
      </c>
      <c r="D2" s="133">
        <f>ROUND(IFERROR(C2/B2*100,0),2)</f>
        <v>0</v>
      </c>
      <c r="E2" s="246"/>
    </row>
    <row r="3" spans="1:5">
      <c r="A3" s="137" t="s">
        <v>3438</v>
      </c>
      <c r="B3" s="136">
        <f>ROUND(SUMIF(合同资产明细表!D:D,A3,合同资产明细表!E:E),2)</f>
        <v>0</v>
      </c>
      <c r="C3" s="136">
        <f>ROUND(SUMIF(合同资产明细表!D:D,采用组合计提坏账准备的合同资产!A3,合同资产明细表!O:O),2)</f>
        <v>0</v>
      </c>
      <c r="D3" s="133">
        <f>ROUND(IFERROR(C3/B3*100,0),2)</f>
        <v>0</v>
      </c>
      <c r="E3" s="246"/>
    </row>
    <row r="4" spans="1:5">
      <c r="A4" s="137" t="s">
        <v>3439</v>
      </c>
      <c r="B4" s="136">
        <f>ROUND(SUMIF(合同资产明细表!D:D,A4,合同资产明细表!E:E),2)</f>
        <v>0</v>
      </c>
      <c r="C4" s="136">
        <f>ROUND(SUMIF(合同资产明细表!D:D,采用组合计提坏账准备的合同资产!A4,合同资产明细表!O:O),2)</f>
        <v>0</v>
      </c>
      <c r="D4" s="133">
        <f>ROUND(IFERROR(C4/B4*100,0),2)</f>
        <v>0</v>
      </c>
      <c r="E4" s="246"/>
    </row>
    <row r="5" spans="1:5">
      <c r="A5" s="137" t="s">
        <v>3440</v>
      </c>
      <c r="B5" s="136">
        <f>ROUND(SUMIF(合同资产明细表!D:D,A5,合同资产明细表!E:E),2)</f>
        <v>0</v>
      </c>
      <c r="C5" s="136">
        <f>ROUND(SUMIF(合同资产明细表!D:D,采用组合计提坏账准备的合同资产!A5,合同资产明细表!O:O),2)</f>
        <v>0</v>
      </c>
      <c r="D5" s="133">
        <f>ROUND(IFERROR(C5/B5*100,0),2)</f>
        <v>0</v>
      </c>
      <c r="E5" s="246"/>
    </row>
    <row r="6" spans="1:5">
      <c r="A6" s="18" t="s">
        <v>262</v>
      </c>
      <c r="B6" s="1">
        <f>ROUND(SUM(B2:B5),2)</f>
        <v>0</v>
      </c>
      <c r="C6" s="1">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FF29BB-F11F-4F95-A6C4-0C34C56618A3}">
          <x14:formula1>
            <xm:f>分类表!$91:$91</xm:f>
          </x14:formula1>
          <xm:sqref>A2:A5</xm:sqref>
        </x14:dataValidation>
      </x14:dataValidation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6162-B243-4604-BBED-E697A8AD43FE}">
  <sheetPr codeName="Sheet145"/>
  <dimension ref="A1:X19"/>
  <sheetViews>
    <sheetView workbookViewId="0">
      <selection activeCell="A5" sqref="A5"/>
    </sheetView>
  </sheetViews>
  <sheetFormatPr defaultRowHeight="13.8"/>
  <cols>
    <col min="3" max="3" width="14.5546875" customWidth="1"/>
    <col min="6" max="7" width="13.88671875" bestFit="1" customWidth="1"/>
    <col min="8" max="8" width="13.88671875" customWidth="1"/>
    <col min="9" max="12" width="10.5546875" bestFit="1" customWidth="1"/>
    <col min="13" max="14" width="13.88671875" customWidth="1"/>
  </cols>
  <sheetData>
    <row r="1" spans="1:24" s="236" customFormat="1" ht="41.4">
      <c r="A1" s="236" t="s">
        <v>2383</v>
      </c>
      <c r="B1" s="236" t="s">
        <v>3434</v>
      </c>
      <c r="C1" s="236" t="s">
        <v>3435</v>
      </c>
      <c r="D1" s="236" t="s">
        <v>3436</v>
      </c>
      <c r="E1" s="236" t="s">
        <v>245</v>
      </c>
      <c r="F1" s="236" t="s">
        <v>3441</v>
      </c>
      <c r="G1" s="236" t="s">
        <v>3442</v>
      </c>
      <c r="H1" s="236" t="s">
        <v>3445</v>
      </c>
      <c r="I1" s="236" t="s">
        <v>3446</v>
      </c>
      <c r="J1" s="236" t="s">
        <v>3447</v>
      </c>
      <c r="K1" s="236" t="s">
        <v>3448</v>
      </c>
      <c r="L1" s="236" t="s">
        <v>3449</v>
      </c>
      <c r="M1" s="236" t="s">
        <v>3450</v>
      </c>
      <c r="N1" s="236" t="s">
        <v>3451</v>
      </c>
      <c r="O1" s="236" t="s">
        <v>2352</v>
      </c>
      <c r="P1" s="236" t="s">
        <v>3443</v>
      </c>
      <c r="Q1" s="236" t="s">
        <v>3444</v>
      </c>
      <c r="R1" s="236" t="s">
        <v>3452</v>
      </c>
      <c r="S1" s="236" t="s">
        <v>3453</v>
      </c>
      <c r="T1" s="236" t="s">
        <v>3454</v>
      </c>
      <c r="U1" s="236" t="s">
        <v>3455</v>
      </c>
      <c r="V1" s="236" t="s">
        <v>3456</v>
      </c>
      <c r="W1" s="236" t="s">
        <v>3457</v>
      </c>
      <c r="X1" s="236" t="s">
        <v>3458</v>
      </c>
    </row>
    <row r="2" spans="1:24">
      <c r="A2" t="str">
        <f>IF(E2&gt;0,基础信息!$B$1,"")</f>
        <v/>
      </c>
      <c r="B2" s="255"/>
      <c r="C2" s="276"/>
      <c r="D2" s="276"/>
      <c r="E2" s="229">
        <f>SUM(F2:G2)</f>
        <v>0</v>
      </c>
      <c r="F2" s="255"/>
      <c r="G2" s="255"/>
      <c r="H2" s="255"/>
      <c r="I2" s="255"/>
      <c r="J2" s="255"/>
      <c r="K2" s="255"/>
      <c r="L2" s="255"/>
      <c r="M2" s="255"/>
      <c r="N2" s="229">
        <f>SUM(H2:M2)-E2</f>
        <v>0</v>
      </c>
      <c r="O2" s="229">
        <f>SUM(P2:Q2)</f>
        <v>0</v>
      </c>
      <c r="P2" s="255"/>
      <c r="Q2" s="255"/>
      <c r="R2" s="255"/>
      <c r="S2" s="255"/>
      <c r="T2" s="255"/>
      <c r="U2" s="255"/>
      <c r="V2" s="255"/>
      <c r="W2" s="255"/>
      <c r="X2" s="230">
        <f>SUM(R2:W2)-O2</f>
        <v>0</v>
      </c>
    </row>
    <row r="3" spans="1:24">
      <c r="A3" t="str">
        <f>IF(E3&gt;0,基础信息!$B$1,"")</f>
        <v/>
      </c>
      <c r="B3" s="255"/>
      <c r="C3" s="276"/>
      <c r="D3" s="276"/>
      <c r="E3" s="229">
        <f t="shared" ref="E3:E19" si="0">SUM(F3:G3)</f>
        <v>0</v>
      </c>
      <c r="F3" s="255"/>
      <c r="G3" s="255"/>
      <c r="H3" s="255"/>
      <c r="I3" s="255"/>
      <c r="J3" s="255"/>
      <c r="K3" s="255"/>
      <c r="L3" s="255"/>
      <c r="M3" s="255"/>
      <c r="N3" s="229">
        <f t="shared" ref="N3:N19" si="1">SUM(H3:M3)-E3</f>
        <v>0</v>
      </c>
      <c r="O3" s="229">
        <f t="shared" ref="O3:O19" si="2">SUM(P3:Q3)</f>
        <v>0</v>
      </c>
      <c r="P3" s="255"/>
      <c r="Q3" s="255"/>
      <c r="R3" s="255"/>
      <c r="S3" s="255"/>
      <c r="T3" s="255"/>
      <c r="U3" s="255"/>
      <c r="V3" s="255"/>
      <c r="W3" s="255"/>
      <c r="X3" s="230">
        <f t="shared" ref="X3:X19" si="3">SUM(R3:W3)-O3</f>
        <v>0</v>
      </c>
    </row>
    <row r="4" spans="1:24">
      <c r="A4" t="str">
        <f>IF(E4&gt;0,基础信息!$B$1,"")</f>
        <v/>
      </c>
      <c r="B4" s="255"/>
      <c r="C4" s="276"/>
      <c r="D4" s="276"/>
      <c r="E4" s="229">
        <f t="shared" si="0"/>
        <v>0</v>
      </c>
      <c r="F4" s="255"/>
      <c r="G4" s="255"/>
      <c r="H4" s="255"/>
      <c r="I4" s="255"/>
      <c r="J4" s="255"/>
      <c r="K4" s="255"/>
      <c r="L4" s="255"/>
      <c r="M4" s="255"/>
      <c r="N4" s="229">
        <f t="shared" si="1"/>
        <v>0</v>
      </c>
      <c r="O4" s="229">
        <f t="shared" si="2"/>
        <v>0</v>
      </c>
      <c r="P4" s="255"/>
      <c r="Q4" s="255"/>
      <c r="R4" s="255"/>
      <c r="S4" s="255"/>
      <c r="T4" s="255"/>
      <c r="U4" s="255"/>
      <c r="V4" s="255"/>
      <c r="W4" s="255"/>
      <c r="X4" s="230">
        <f t="shared" si="3"/>
        <v>0</v>
      </c>
    </row>
    <row r="5" spans="1:24">
      <c r="A5" t="str">
        <f>IF(E5&gt;0,基础信息!$B$1,"")</f>
        <v/>
      </c>
      <c r="B5" s="255"/>
      <c r="C5" s="276"/>
      <c r="D5" s="276"/>
      <c r="E5" s="229">
        <f t="shared" si="0"/>
        <v>0</v>
      </c>
      <c r="F5" s="255"/>
      <c r="G5" s="255"/>
      <c r="H5" s="255"/>
      <c r="I5" s="255"/>
      <c r="J5" s="255"/>
      <c r="K5" s="255"/>
      <c r="L5" s="255"/>
      <c r="M5" s="255"/>
      <c r="N5" s="229">
        <f t="shared" si="1"/>
        <v>0</v>
      </c>
      <c r="O5" s="229">
        <f t="shared" si="2"/>
        <v>0</v>
      </c>
      <c r="P5" s="255"/>
      <c r="Q5" s="255"/>
      <c r="R5" s="255"/>
      <c r="S5" s="255"/>
      <c r="T5" s="255"/>
      <c r="U5" s="255"/>
      <c r="V5" s="255"/>
      <c r="W5" s="255"/>
      <c r="X5" s="230">
        <f t="shared" si="3"/>
        <v>0</v>
      </c>
    </row>
    <row r="6" spans="1:24">
      <c r="A6" t="str">
        <f>IF(E6&gt;0,基础信息!$B$1,"")</f>
        <v/>
      </c>
      <c r="B6" s="255"/>
      <c r="C6" s="276"/>
      <c r="D6" s="276"/>
      <c r="E6" s="229">
        <f t="shared" si="0"/>
        <v>0</v>
      </c>
      <c r="F6" s="255"/>
      <c r="G6" s="255"/>
      <c r="H6" s="255"/>
      <c r="I6" s="255"/>
      <c r="J6" s="255"/>
      <c r="K6" s="255"/>
      <c r="L6" s="255"/>
      <c r="M6" s="255"/>
      <c r="N6" s="229">
        <f t="shared" si="1"/>
        <v>0</v>
      </c>
      <c r="O6" s="229">
        <f t="shared" si="2"/>
        <v>0</v>
      </c>
      <c r="P6" s="255"/>
      <c r="Q6" s="255"/>
      <c r="R6" s="255"/>
      <c r="S6" s="255"/>
      <c r="T6" s="255"/>
      <c r="U6" s="255"/>
      <c r="V6" s="255"/>
      <c r="W6" s="255"/>
      <c r="X6" s="230">
        <f t="shared" si="3"/>
        <v>0</v>
      </c>
    </row>
    <row r="7" spans="1:24">
      <c r="A7" t="str">
        <f>IF(E7&gt;0,基础信息!$B$1,"")</f>
        <v/>
      </c>
      <c r="B7" s="255"/>
      <c r="C7" s="276"/>
      <c r="D7" s="276"/>
      <c r="E7" s="229">
        <f t="shared" si="0"/>
        <v>0</v>
      </c>
      <c r="F7" s="255"/>
      <c r="G7" s="255"/>
      <c r="H7" s="255"/>
      <c r="I7" s="255"/>
      <c r="J7" s="255"/>
      <c r="K7" s="255"/>
      <c r="L7" s="255"/>
      <c r="M7" s="255"/>
      <c r="N7" s="229">
        <f t="shared" si="1"/>
        <v>0</v>
      </c>
      <c r="O7" s="229">
        <f t="shared" si="2"/>
        <v>0</v>
      </c>
      <c r="P7" s="255"/>
      <c r="Q7" s="255"/>
      <c r="R7" s="255"/>
      <c r="S7" s="255"/>
      <c r="T7" s="255"/>
      <c r="U7" s="255"/>
      <c r="V7" s="255"/>
      <c r="W7" s="255"/>
      <c r="X7" s="230">
        <f t="shared" si="3"/>
        <v>0</v>
      </c>
    </row>
    <row r="8" spans="1:24">
      <c r="A8" t="str">
        <f>IF(E8&gt;0,基础信息!$B$1,"")</f>
        <v/>
      </c>
      <c r="B8" s="255"/>
      <c r="C8" s="276"/>
      <c r="D8" s="276"/>
      <c r="E8" s="229">
        <f t="shared" si="0"/>
        <v>0</v>
      </c>
      <c r="F8" s="255"/>
      <c r="G8" s="255"/>
      <c r="H8" s="255"/>
      <c r="I8" s="255"/>
      <c r="J8" s="255"/>
      <c r="K8" s="255"/>
      <c r="L8" s="255"/>
      <c r="M8" s="255"/>
      <c r="N8" s="229">
        <f t="shared" si="1"/>
        <v>0</v>
      </c>
      <c r="O8" s="229">
        <f t="shared" si="2"/>
        <v>0</v>
      </c>
      <c r="P8" s="255"/>
      <c r="Q8" s="255"/>
      <c r="R8" s="255"/>
      <c r="S8" s="255"/>
      <c r="T8" s="255"/>
      <c r="U8" s="255"/>
      <c r="V8" s="255"/>
      <c r="W8" s="255"/>
      <c r="X8" s="230">
        <f t="shared" si="3"/>
        <v>0</v>
      </c>
    </row>
    <row r="9" spans="1:24">
      <c r="A9" t="str">
        <f>IF(E9&gt;0,基础信息!$B$1,"")</f>
        <v/>
      </c>
      <c r="B9" s="255"/>
      <c r="C9" s="276"/>
      <c r="D9" s="276"/>
      <c r="E9" s="229">
        <f t="shared" si="0"/>
        <v>0</v>
      </c>
      <c r="F9" s="255"/>
      <c r="G9" s="255"/>
      <c r="H9" s="255"/>
      <c r="I9" s="255"/>
      <c r="J9" s="255"/>
      <c r="K9" s="255"/>
      <c r="L9" s="255"/>
      <c r="M9" s="255"/>
      <c r="N9" s="229">
        <f t="shared" si="1"/>
        <v>0</v>
      </c>
      <c r="O9" s="229">
        <f t="shared" si="2"/>
        <v>0</v>
      </c>
      <c r="P9" s="255"/>
      <c r="Q9" s="255"/>
      <c r="R9" s="255"/>
      <c r="S9" s="255"/>
      <c r="T9" s="255"/>
      <c r="U9" s="255"/>
      <c r="V9" s="255"/>
      <c r="W9" s="255"/>
      <c r="X9" s="230">
        <f t="shared" si="3"/>
        <v>0</v>
      </c>
    </row>
    <row r="10" spans="1:24">
      <c r="A10" t="str">
        <f>IF(E10&gt;0,基础信息!$B$1,"")</f>
        <v/>
      </c>
      <c r="B10" s="255"/>
      <c r="C10" s="276"/>
      <c r="D10" s="276"/>
      <c r="E10" s="229">
        <f t="shared" si="0"/>
        <v>0</v>
      </c>
      <c r="F10" s="255"/>
      <c r="G10" s="255"/>
      <c r="H10" s="255"/>
      <c r="I10" s="255"/>
      <c r="J10" s="255"/>
      <c r="K10" s="255"/>
      <c r="L10" s="255"/>
      <c r="M10" s="255"/>
      <c r="N10" s="229">
        <f t="shared" si="1"/>
        <v>0</v>
      </c>
      <c r="O10" s="229">
        <f t="shared" si="2"/>
        <v>0</v>
      </c>
      <c r="P10" s="255"/>
      <c r="Q10" s="255"/>
      <c r="R10" s="255"/>
      <c r="S10" s="255"/>
      <c r="T10" s="255"/>
      <c r="U10" s="255"/>
      <c r="V10" s="255"/>
      <c r="W10" s="255"/>
      <c r="X10" s="230">
        <f t="shared" si="3"/>
        <v>0</v>
      </c>
    </row>
    <row r="11" spans="1:24">
      <c r="A11" t="str">
        <f>IF(E11&gt;0,基础信息!$B$1,"")</f>
        <v/>
      </c>
      <c r="B11" s="255"/>
      <c r="C11" s="276"/>
      <c r="D11" s="276"/>
      <c r="E11" s="229">
        <f t="shared" si="0"/>
        <v>0</v>
      </c>
      <c r="F11" s="255"/>
      <c r="G11" s="255"/>
      <c r="H11" s="255"/>
      <c r="I11" s="255"/>
      <c r="J11" s="255"/>
      <c r="K11" s="255"/>
      <c r="L11" s="255"/>
      <c r="M11" s="255"/>
      <c r="N11" s="229">
        <f t="shared" si="1"/>
        <v>0</v>
      </c>
      <c r="O11" s="229">
        <f t="shared" si="2"/>
        <v>0</v>
      </c>
      <c r="P11" s="255"/>
      <c r="Q11" s="255"/>
      <c r="R11" s="255"/>
      <c r="S11" s="255"/>
      <c r="T11" s="255"/>
      <c r="U11" s="255"/>
      <c r="V11" s="255"/>
      <c r="W11" s="255"/>
      <c r="X11" s="230">
        <f t="shared" si="3"/>
        <v>0</v>
      </c>
    </row>
    <row r="12" spans="1:24">
      <c r="A12" t="str">
        <f>IF(E12&gt;0,基础信息!$B$1,"")</f>
        <v/>
      </c>
      <c r="B12" s="255"/>
      <c r="C12" s="276"/>
      <c r="D12" s="276"/>
      <c r="E12" s="229">
        <f t="shared" si="0"/>
        <v>0</v>
      </c>
      <c r="F12" s="255"/>
      <c r="G12" s="255"/>
      <c r="H12" s="255"/>
      <c r="I12" s="255"/>
      <c r="J12" s="255"/>
      <c r="K12" s="255"/>
      <c r="L12" s="255"/>
      <c r="M12" s="255"/>
      <c r="N12" s="229">
        <f t="shared" si="1"/>
        <v>0</v>
      </c>
      <c r="O12" s="229">
        <f t="shared" si="2"/>
        <v>0</v>
      </c>
      <c r="P12" s="255"/>
      <c r="Q12" s="255"/>
      <c r="R12" s="255"/>
      <c r="S12" s="255"/>
      <c r="T12" s="255"/>
      <c r="U12" s="255"/>
      <c r="V12" s="255"/>
      <c r="W12" s="255"/>
      <c r="X12" s="230">
        <f t="shared" si="3"/>
        <v>0</v>
      </c>
    </row>
    <row r="13" spans="1:24">
      <c r="A13" t="str">
        <f>IF(E13&gt;0,基础信息!$B$1,"")</f>
        <v/>
      </c>
      <c r="B13" s="255"/>
      <c r="C13" s="276"/>
      <c r="D13" s="276"/>
      <c r="E13" s="229">
        <f t="shared" si="0"/>
        <v>0</v>
      </c>
      <c r="F13" s="255"/>
      <c r="G13" s="255"/>
      <c r="H13" s="255"/>
      <c r="I13" s="255"/>
      <c r="J13" s="255"/>
      <c r="K13" s="255"/>
      <c r="L13" s="255"/>
      <c r="M13" s="255"/>
      <c r="N13" s="229">
        <f t="shared" si="1"/>
        <v>0</v>
      </c>
      <c r="O13" s="229">
        <f t="shared" si="2"/>
        <v>0</v>
      </c>
      <c r="P13" s="255"/>
      <c r="Q13" s="255"/>
      <c r="R13" s="255"/>
      <c r="S13" s="255"/>
      <c r="T13" s="255"/>
      <c r="U13" s="255"/>
      <c r="V13" s="255"/>
      <c r="W13" s="255"/>
      <c r="X13" s="230">
        <f t="shared" si="3"/>
        <v>0</v>
      </c>
    </row>
    <row r="14" spans="1:24">
      <c r="A14" t="str">
        <f>IF(E14&gt;0,基础信息!$B$1,"")</f>
        <v/>
      </c>
      <c r="B14" s="255"/>
      <c r="C14" s="276"/>
      <c r="D14" s="276"/>
      <c r="E14" s="229">
        <f t="shared" si="0"/>
        <v>0</v>
      </c>
      <c r="F14" s="255"/>
      <c r="G14" s="255"/>
      <c r="H14" s="255"/>
      <c r="I14" s="255"/>
      <c r="J14" s="255"/>
      <c r="K14" s="255"/>
      <c r="L14" s="255"/>
      <c r="M14" s="255"/>
      <c r="N14" s="229">
        <f t="shared" si="1"/>
        <v>0</v>
      </c>
      <c r="O14" s="229">
        <f t="shared" si="2"/>
        <v>0</v>
      </c>
      <c r="P14" s="255"/>
      <c r="Q14" s="255"/>
      <c r="R14" s="255"/>
      <c r="S14" s="255"/>
      <c r="T14" s="255"/>
      <c r="U14" s="255"/>
      <c r="V14" s="255"/>
      <c r="W14" s="255"/>
      <c r="X14" s="230">
        <f t="shared" si="3"/>
        <v>0</v>
      </c>
    </row>
    <row r="15" spans="1:24">
      <c r="A15" t="str">
        <f>IF(E15&gt;0,基础信息!$B$1,"")</f>
        <v/>
      </c>
      <c r="B15" s="255"/>
      <c r="C15" s="276"/>
      <c r="D15" s="276"/>
      <c r="E15" s="229">
        <f t="shared" si="0"/>
        <v>0</v>
      </c>
      <c r="F15" s="255"/>
      <c r="G15" s="255"/>
      <c r="H15" s="255"/>
      <c r="I15" s="255"/>
      <c r="J15" s="255"/>
      <c r="K15" s="255"/>
      <c r="L15" s="255"/>
      <c r="M15" s="255"/>
      <c r="N15" s="229">
        <f t="shared" si="1"/>
        <v>0</v>
      </c>
      <c r="O15" s="229">
        <f t="shared" si="2"/>
        <v>0</v>
      </c>
      <c r="P15" s="255"/>
      <c r="Q15" s="255"/>
      <c r="R15" s="255"/>
      <c r="S15" s="255"/>
      <c r="T15" s="255"/>
      <c r="U15" s="255"/>
      <c r="V15" s="255"/>
      <c r="W15" s="255"/>
      <c r="X15" s="230">
        <f t="shared" si="3"/>
        <v>0</v>
      </c>
    </row>
    <row r="16" spans="1:24">
      <c r="A16" t="str">
        <f>IF(E16&gt;0,基础信息!$B$1,"")</f>
        <v/>
      </c>
      <c r="B16" s="255"/>
      <c r="C16" s="276"/>
      <c r="D16" s="276"/>
      <c r="E16" s="229">
        <f t="shared" si="0"/>
        <v>0</v>
      </c>
      <c r="F16" s="255"/>
      <c r="G16" s="255"/>
      <c r="H16" s="255"/>
      <c r="I16" s="255"/>
      <c r="J16" s="255"/>
      <c r="K16" s="255"/>
      <c r="L16" s="255"/>
      <c r="M16" s="255"/>
      <c r="N16" s="229">
        <f t="shared" si="1"/>
        <v>0</v>
      </c>
      <c r="O16" s="229">
        <f t="shared" si="2"/>
        <v>0</v>
      </c>
      <c r="P16" s="255"/>
      <c r="Q16" s="255"/>
      <c r="R16" s="255"/>
      <c r="S16" s="255"/>
      <c r="T16" s="255"/>
      <c r="U16" s="255"/>
      <c r="V16" s="255"/>
      <c r="W16" s="255"/>
      <c r="X16" s="230">
        <f t="shared" si="3"/>
        <v>0</v>
      </c>
    </row>
    <row r="17" spans="1:24">
      <c r="A17" t="str">
        <f>IF(E17&gt;0,基础信息!$B$1,"")</f>
        <v/>
      </c>
      <c r="B17" s="255"/>
      <c r="C17" s="276"/>
      <c r="D17" s="276"/>
      <c r="E17" s="229">
        <f t="shared" si="0"/>
        <v>0</v>
      </c>
      <c r="F17" s="255"/>
      <c r="G17" s="255"/>
      <c r="H17" s="255"/>
      <c r="I17" s="255"/>
      <c r="J17" s="255"/>
      <c r="K17" s="255"/>
      <c r="L17" s="255"/>
      <c r="M17" s="255"/>
      <c r="N17" s="229">
        <f t="shared" si="1"/>
        <v>0</v>
      </c>
      <c r="O17" s="229">
        <f t="shared" si="2"/>
        <v>0</v>
      </c>
      <c r="P17" s="255"/>
      <c r="Q17" s="255"/>
      <c r="R17" s="255"/>
      <c r="S17" s="255"/>
      <c r="T17" s="255"/>
      <c r="U17" s="255"/>
      <c r="V17" s="255"/>
      <c r="W17" s="255"/>
      <c r="X17" s="230">
        <f t="shared" si="3"/>
        <v>0</v>
      </c>
    </row>
    <row r="18" spans="1:24">
      <c r="A18" t="str">
        <f>IF(E18&gt;0,基础信息!$B$1,"")</f>
        <v/>
      </c>
      <c r="B18" s="255"/>
      <c r="C18" s="276"/>
      <c r="D18" s="276"/>
      <c r="E18" s="229">
        <f t="shared" si="0"/>
        <v>0</v>
      </c>
      <c r="F18" s="255"/>
      <c r="G18" s="255"/>
      <c r="H18" s="255"/>
      <c r="I18" s="255"/>
      <c r="J18" s="255"/>
      <c r="K18" s="255"/>
      <c r="L18" s="255"/>
      <c r="M18" s="255"/>
      <c r="N18" s="229">
        <f t="shared" si="1"/>
        <v>0</v>
      </c>
      <c r="O18" s="229">
        <f t="shared" si="2"/>
        <v>0</v>
      </c>
      <c r="P18" s="255"/>
      <c r="Q18" s="255"/>
      <c r="R18" s="255"/>
      <c r="S18" s="255"/>
      <c r="T18" s="255"/>
      <c r="U18" s="255"/>
      <c r="V18" s="255"/>
      <c r="W18" s="255"/>
      <c r="X18" s="230">
        <f t="shared" si="3"/>
        <v>0</v>
      </c>
    </row>
    <row r="19" spans="1:24">
      <c r="A19" t="str">
        <f>IF(E19&gt;0,基础信息!$B$1,"")</f>
        <v/>
      </c>
      <c r="B19" s="255"/>
      <c r="C19" s="276"/>
      <c r="D19" s="276"/>
      <c r="E19" s="229">
        <f t="shared" si="0"/>
        <v>0</v>
      </c>
      <c r="F19" s="255"/>
      <c r="G19" s="255"/>
      <c r="H19" s="255"/>
      <c r="I19" s="255"/>
      <c r="J19" s="255"/>
      <c r="K19" s="255"/>
      <c r="L19" s="255"/>
      <c r="M19" s="255"/>
      <c r="N19" s="229">
        <f t="shared" si="1"/>
        <v>0</v>
      </c>
      <c r="O19" s="229">
        <f t="shared" si="2"/>
        <v>0</v>
      </c>
      <c r="P19" s="255"/>
      <c r="Q19" s="255"/>
      <c r="R19" s="255"/>
      <c r="S19" s="255"/>
      <c r="T19" s="255"/>
      <c r="U19" s="255"/>
      <c r="V19" s="255"/>
      <c r="W19" s="255"/>
      <c r="X19" s="230">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4DBDE1-7B00-44E0-A2AD-8A61922C3AAC}">
          <x14:formula1>
            <xm:f>分类表!$8:$8</xm:f>
          </x14:formula1>
          <xm:sqref>C2:C18</xm:sqref>
        </x14:dataValidation>
        <x14:dataValidation type="list" allowBlank="1" showInputMessage="1" showErrorMessage="1" xr:uid="{CCFD8CC7-D4B2-48FF-9175-5E5808564F3F}">
          <x14:formula1>
            <xm:f>分类表!$91:$91</xm:f>
          </x14:formula1>
          <xm:sqref>D2:D19</xm:sqref>
        </x14:dataValidation>
      </x14:dataValidations>
    </ext>
  </extLst>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codeName="Sheet146">
    <tabColor rgb="FFFFC000"/>
  </sheetPr>
  <dimension ref="A1:G15"/>
  <sheetViews>
    <sheetView workbookViewId="0">
      <selection activeCell="B5" sqref="B5"/>
    </sheetView>
  </sheetViews>
  <sheetFormatPr defaultRowHeight="13.8"/>
  <cols>
    <col min="1" max="1" width="15.109375" style="18" customWidth="1"/>
    <col min="2" max="2" width="13.88671875" style="18" bestFit="1" customWidth="1"/>
    <col min="3" max="3" width="9.5546875" style="18" bestFit="1" customWidth="1"/>
    <col min="4" max="4" width="18.77734375" style="1" customWidth="1"/>
    <col min="5" max="5" width="9.5546875" style="18" bestFit="1" customWidth="1"/>
    <col min="6" max="6" width="13" style="18" customWidth="1"/>
    <col min="7" max="7" width="15" style="18" customWidth="1"/>
    <col min="8" max="16384" width="8.88671875" style="18"/>
  </cols>
  <sheetData>
    <row r="1" spans="1:7" ht="14.4">
      <c r="A1" s="32" t="s">
        <v>28</v>
      </c>
      <c r="B1" s="32" t="s">
        <v>3468</v>
      </c>
      <c r="C1" s="32" t="s">
        <v>3469</v>
      </c>
      <c r="D1" s="530" t="s">
        <v>3347</v>
      </c>
      <c r="E1" s="32" t="s">
        <v>354</v>
      </c>
      <c r="F1" s="32" t="s">
        <v>355</v>
      </c>
      <c r="G1" s="20" t="s">
        <v>356</v>
      </c>
    </row>
    <row r="2" spans="1:7" ht="14.4">
      <c r="A2" s="594">
        <f>持有待售资产明细表!C2</f>
        <v>0</v>
      </c>
      <c r="B2" s="594">
        <f>持有待售资产明细表!I2</f>
        <v>0</v>
      </c>
      <c r="C2" s="594">
        <f>持有待售资产明细表!N2</f>
        <v>0</v>
      </c>
      <c r="D2" s="305">
        <f>B2-C2</f>
        <v>0</v>
      </c>
      <c r="E2" s="595">
        <f>持有待售资产明细表!O2</f>
        <v>0</v>
      </c>
      <c r="F2" s="595">
        <f>持有待售资产明细表!P2</f>
        <v>0</v>
      </c>
      <c r="G2" s="595">
        <f>持有待售资产明细表!R2</f>
        <v>0</v>
      </c>
    </row>
    <row r="3" spans="1:7" ht="14.4">
      <c r="A3" s="594">
        <f>持有待售资产明细表!C3</f>
        <v>0</v>
      </c>
      <c r="B3" s="594">
        <f>持有待售资产明细表!I3</f>
        <v>0</v>
      </c>
      <c r="C3" s="594">
        <f>持有待售资产明细表!N3</f>
        <v>0</v>
      </c>
      <c r="D3" s="305">
        <f t="shared" ref="D3:D14" si="0">B3-C3</f>
        <v>0</v>
      </c>
      <c r="E3" s="595">
        <f>持有待售资产明细表!O3</f>
        <v>0</v>
      </c>
      <c r="F3" s="595">
        <f>持有待售资产明细表!P3</f>
        <v>0</v>
      </c>
      <c r="G3" s="595">
        <f>持有待售资产明细表!R3</f>
        <v>0</v>
      </c>
    </row>
    <row r="4" spans="1:7" ht="14.4">
      <c r="A4" s="594">
        <f>持有待售资产明细表!C4</f>
        <v>0</v>
      </c>
      <c r="B4" s="594">
        <f>持有待售资产明细表!I4</f>
        <v>0</v>
      </c>
      <c r="C4" s="594">
        <f>持有待售资产明细表!N4</f>
        <v>0</v>
      </c>
      <c r="D4" s="305">
        <f t="shared" si="0"/>
        <v>0</v>
      </c>
      <c r="E4" s="595">
        <f>持有待售资产明细表!O4</f>
        <v>0</v>
      </c>
      <c r="F4" s="595">
        <f>持有待售资产明细表!P4</f>
        <v>0</v>
      </c>
      <c r="G4" s="595">
        <f>持有待售资产明细表!R4</f>
        <v>0</v>
      </c>
    </row>
    <row r="5" spans="1:7" ht="14.4">
      <c r="A5" s="594">
        <f>持有待售资产明细表!C5</f>
        <v>0</v>
      </c>
      <c r="B5" s="594">
        <f>持有待售资产明细表!I5</f>
        <v>0</v>
      </c>
      <c r="C5" s="594">
        <f>持有待售资产明细表!N5</f>
        <v>0</v>
      </c>
      <c r="D5" s="305">
        <f t="shared" si="0"/>
        <v>0</v>
      </c>
      <c r="E5" s="595">
        <f>持有待售资产明细表!O5</f>
        <v>0</v>
      </c>
      <c r="F5" s="595">
        <f>持有待售资产明细表!P5</f>
        <v>0</v>
      </c>
      <c r="G5" s="595">
        <f>持有待售资产明细表!R5</f>
        <v>0</v>
      </c>
    </row>
    <row r="6" spans="1:7" ht="14.4">
      <c r="A6" s="594">
        <f>持有待售资产明细表!C6</f>
        <v>0</v>
      </c>
      <c r="B6" s="594">
        <f>持有待售资产明细表!I6</f>
        <v>0</v>
      </c>
      <c r="C6" s="594">
        <f>持有待售资产明细表!N6</f>
        <v>0</v>
      </c>
      <c r="D6" s="305">
        <f t="shared" si="0"/>
        <v>0</v>
      </c>
      <c r="E6" s="595">
        <f>持有待售资产明细表!O6</f>
        <v>0</v>
      </c>
      <c r="F6" s="595">
        <f>持有待售资产明细表!P6</f>
        <v>0</v>
      </c>
      <c r="G6" s="595">
        <f>持有待售资产明细表!R6</f>
        <v>0</v>
      </c>
    </row>
    <row r="7" spans="1:7" ht="14.4">
      <c r="A7" s="594">
        <f>持有待售资产明细表!C7</f>
        <v>0</v>
      </c>
      <c r="B7" s="594">
        <f>持有待售资产明细表!I7</f>
        <v>0</v>
      </c>
      <c r="C7" s="594">
        <f>持有待售资产明细表!N7</f>
        <v>0</v>
      </c>
      <c r="D7" s="305">
        <f t="shared" si="0"/>
        <v>0</v>
      </c>
      <c r="E7" s="595">
        <f>持有待售资产明细表!O7</f>
        <v>0</v>
      </c>
      <c r="F7" s="595">
        <f>持有待售资产明细表!P7</f>
        <v>0</v>
      </c>
      <c r="G7" s="595">
        <f>持有待售资产明细表!R7</f>
        <v>0</v>
      </c>
    </row>
    <row r="8" spans="1:7" ht="14.4">
      <c r="A8" s="594">
        <f>持有待售资产明细表!C8</f>
        <v>0</v>
      </c>
      <c r="B8" s="594">
        <f>持有待售资产明细表!I8</f>
        <v>0</v>
      </c>
      <c r="C8" s="594">
        <f>持有待售资产明细表!N8</f>
        <v>0</v>
      </c>
      <c r="D8" s="305">
        <f t="shared" si="0"/>
        <v>0</v>
      </c>
      <c r="E8" s="595">
        <f>持有待售资产明细表!O8</f>
        <v>0</v>
      </c>
      <c r="F8" s="595">
        <f>持有待售资产明细表!P8</f>
        <v>0</v>
      </c>
      <c r="G8" s="595">
        <f>持有待售资产明细表!R8</f>
        <v>0</v>
      </c>
    </row>
    <row r="9" spans="1:7" ht="14.4">
      <c r="A9" s="594">
        <f>持有待售资产明细表!C9</f>
        <v>0</v>
      </c>
      <c r="B9" s="594">
        <f>持有待售资产明细表!I9</f>
        <v>0</v>
      </c>
      <c r="C9" s="594">
        <f>持有待售资产明细表!N9</f>
        <v>0</v>
      </c>
      <c r="D9" s="305">
        <f t="shared" si="0"/>
        <v>0</v>
      </c>
      <c r="E9" s="595">
        <f>持有待售资产明细表!O9</f>
        <v>0</v>
      </c>
      <c r="F9" s="595">
        <f>持有待售资产明细表!P9</f>
        <v>0</v>
      </c>
      <c r="G9" s="595">
        <f>持有待售资产明细表!R9</f>
        <v>0</v>
      </c>
    </row>
    <row r="10" spans="1:7" ht="14.4">
      <c r="A10" s="594">
        <f>持有待售资产明细表!C10</f>
        <v>0</v>
      </c>
      <c r="B10" s="594">
        <f>持有待售资产明细表!I10</f>
        <v>0</v>
      </c>
      <c r="C10" s="594">
        <f>持有待售资产明细表!N10</f>
        <v>0</v>
      </c>
      <c r="D10" s="305">
        <f t="shared" si="0"/>
        <v>0</v>
      </c>
      <c r="E10" s="595">
        <f>持有待售资产明细表!O10</f>
        <v>0</v>
      </c>
      <c r="F10" s="595">
        <f>持有待售资产明细表!P10</f>
        <v>0</v>
      </c>
      <c r="G10" s="595">
        <f>持有待售资产明细表!R10</f>
        <v>0</v>
      </c>
    </row>
    <row r="11" spans="1:7" ht="14.4">
      <c r="A11" s="594">
        <f>持有待售资产明细表!C11</f>
        <v>0</v>
      </c>
      <c r="B11" s="594">
        <f>持有待售资产明细表!I11</f>
        <v>0</v>
      </c>
      <c r="C11" s="594">
        <f>持有待售资产明细表!N11</f>
        <v>0</v>
      </c>
      <c r="D11" s="305">
        <f t="shared" si="0"/>
        <v>0</v>
      </c>
      <c r="E11" s="595">
        <f>持有待售资产明细表!O11</f>
        <v>0</v>
      </c>
      <c r="F11" s="595">
        <f>持有待售资产明细表!P11</f>
        <v>0</v>
      </c>
      <c r="G11" s="595">
        <f>持有待售资产明细表!R11</f>
        <v>0</v>
      </c>
    </row>
    <row r="12" spans="1:7" ht="14.4">
      <c r="A12" s="594">
        <f>持有待售资产明细表!C12</f>
        <v>0</v>
      </c>
      <c r="B12" s="594">
        <f>持有待售资产明细表!I12</f>
        <v>0</v>
      </c>
      <c r="C12" s="594">
        <f>持有待售资产明细表!N12</f>
        <v>0</v>
      </c>
      <c r="D12" s="305">
        <f t="shared" si="0"/>
        <v>0</v>
      </c>
      <c r="E12" s="595">
        <f>持有待售资产明细表!O12</f>
        <v>0</v>
      </c>
      <c r="F12" s="595">
        <f>持有待售资产明细表!P12</f>
        <v>0</v>
      </c>
      <c r="G12" s="595">
        <f>持有待售资产明细表!R12</f>
        <v>0</v>
      </c>
    </row>
    <row r="13" spans="1:7" ht="14.4">
      <c r="A13" s="596"/>
      <c r="B13" s="596"/>
      <c r="C13" s="596"/>
      <c r="D13" s="305">
        <f t="shared" si="0"/>
        <v>0</v>
      </c>
      <c r="E13" s="241"/>
      <c r="F13" s="241"/>
      <c r="G13" s="241"/>
    </row>
    <row r="14" spans="1:7" ht="14.4">
      <c r="A14" s="597"/>
      <c r="B14" s="597"/>
      <c r="C14" s="597"/>
      <c r="D14" s="305">
        <f t="shared" si="0"/>
        <v>0</v>
      </c>
      <c r="E14" s="241"/>
      <c r="F14" s="241"/>
      <c r="G14" s="241"/>
    </row>
    <row r="15" spans="1:7" ht="14.4">
      <c r="A15" s="20" t="s">
        <v>204</v>
      </c>
      <c r="B15" s="548">
        <f t="shared" ref="B15:C15" si="1">SUM(B2:B14)</f>
        <v>0</v>
      </c>
      <c r="C15" s="548">
        <f t="shared" si="1"/>
        <v>0</v>
      </c>
      <c r="D15" s="548">
        <f>SUM(D2:D14)</f>
        <v>0</v>
      </c>
      <c r="E15" s="20"/>
      <c r="F15" s="20"/>
      <c r="G15" s="20"/>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codeName="Sheet147">
    <tabColor rgb="FFFFC000"/>
  </sheetPr>
  <dimension ref="A1:F12"/>
  <sheetViews>
    <sheetView workbookViewId="0">
      <selection activeCell="C7" sqref="C7"/>
    </sheetView>
  </sheetViews>
  <sheetFormatPr defaultRowHeight="13.8"/>
  <cols>
    <col min="1" max="1" width="11.6640625" style="18" bestFit="1" customWidth="1"/>
    <col min="2" max="6" width="9.5546875" style="18" bestFit="1" customWidth="1"/>
    <col min="7" max="16384" width="8.88671875" style="18"/>
  </cols>
  <sheetData>
    <row r="1" spans="1:6" ht="15" customHeight="1">
      <c r="A1" s="32" t="s">
        <v>28</v>
      </c>
      <c r="B1" s="32" t="s">
        <v>3348</v>
      </c>
      <c r="C1" s="32" t="s">
        <v>3470</v>
      </c>
      <c r="D1" s="32" t="s">
        <v>2392</v>
      </c>
      <c r="E1" s="32" t="s">
        <v>358</v>
      </c>
      <c r="F1" s="32" t="s">
        <v>3349</v>
      </c>
    </row>
    <row r="2" spans="1:6" ht="14.4">
      <c r="A2" s="598">
        <f>持有待售资产明细表!C2</f>
        <v>0</v>
      </c>
      <c r="B2" s="599">
        <f>持有待售资产明细表!J2</f>
        <v>0</v>
      </c>
      <c r="C2" s="600">
        <f>持有待售资产明细表!K2</f>
        <v>0</v>
      </c>
      <c r="D2" s="296">
        <f>持有待售资产明细表!L2</f>
        <v>0</v>
      </c>
      <c r="E2" s="296">
        <f>持有待售资产明细表!M2</f>
        <v>0</v>
      </c>
      <c r="F2" s="296">
        <f>B2+C2-D2-E2</f>
        <v>0</v>
      </c>
    </row>
    <row r="3" spans="1:6" ht="14.4">
      <c r="A3" s="598">
        <f>持有待售资产明细表!C3</f>
        <v>0</v>
      </c>
      <c r="B3" s="599">
        <f>持有待售资产明细表!J3</f>
        <v>0</v>
      </c>
      <c r="C3" s="600">
        <f>持有待售资产明细表!K3</f>
        <v>0</v>
      </c>
      <c r="D3" s="296">
        <f>持有待售资产明细表!L3</f>
        <v>0</v>
      </c>
      <c r="E3" s="296">
        <f>持有待售资产明细表!M3</f>
        <v>0</v>
      </c>
      <c r="F3" s="296">
        <f>B3+C3-D3-E3</f>
        <v>0</v>
      </c>
    </row>
    <row r="4" spans="1:6" ht="14.4">
      <c r="A4" s="598">
        <f>持有待售资产明细表!C4</f>
        <v>0</v>
      </c>
      <c r="B4" s="599">
        <f>持有待售资产明细表!J4</f>
        <v>0</v>
      </c>
      <c r="C4" s="600">
        <f>持有待售资产明细表!K4</f>
        <v>0</v>
      </c>
      <c r="D4" s="296">
        <f>持有待售资产明细表!L4</f>
        <v>0</v>
      </c>
      <c r="E4" s="296">
        <f>持有待售资产明细表!M4</f>
        <v>0</v>
      </c>
      <c r="F4" s="296">
        <f t="shared" ref="F4:F11" si="0">B4+C4-D4-E4</f>
        <v>0</v>
      </c>
    </row>
    <row r="5" spans="1:6" ht="14.4">
      <c r="A5" s="598">
        <f>持有待售资产明细表!C5</f>
        <v>0</v>
      </c>
      <c r="B5" s="599">
        <f>持有待售资产明细表!J5</f>
        <v>0</v>
      </c>
      <c r="C5" s="600">
        <f>持有待售资产明细表!K5</f>
        <v>0</v>
      </c>
      <c r="D5" s="296">
        <f>持有待售资产明细表!L5</f>
        <v>0</v>
      </c>
      <c r="E5" s="296">
        <f>持有待售资产明细表!M5</f>
        <v>0</v>
      </c>
      <c r="F5" s="296">
        <f t="shared" si="0"/>
        <v>0</v>
      </c>
    </row>
    <row r="6" spans="1:6" ht="14.4">
      <c r="A6" s="598">
        <f>持有待售资产明细表!C6</f>
        <v>0</v>
      </c>
      <c r="B6" s="599">
        <f>持有待售资产明细表!J6</f>
        <v>0</v>
      </c>
      <c r="C6" s="600">
        <f>持有待售资产明细表!K6</f>
        <v>0</v>
      </c>
      <c r="D6" s="296">
        <f>持有待售资产明细表!L6</f>
        <v>0</v>
      </c>
      <c r="E6" s="296">
        <f>持有待售资产明细表!M6</f>
        <v>0</v>
      </c>
      <c r="F6" s="296">
        <f t="shared" si="0"/>
        <v>0</v>
      </c>
    </row>
    <row r="7" spans="1:6" ht="14.4">
      <c r="A7" s="598">
        <f>持有待售资产明细表!C7</f>
        <v>0</v>
      </c>
      <c r="B7" s="599">
        <f>持有待售资产明细表!J7</f>
        <v>0</v>
      </c>
      <c r="C7" s="600">
        <f>持有待售资产明细表!K7</f>
        <v>0</v>
      </c>
      <c r="D7" s="296">
        <f>持有待售资产明细表!L7</f>
        <v>0</v>
      </c>
      <c r="E7" s="296">
        <f>持有待售资产明细表!M7</f>
        <v>0</v>
      </c>
      <c r="F7" s="296">
        <f t="shared" si="0"/>
        <v>0</v>
      </c>
    </row>
    <row r="8" spans="1:6" ht="14.4">
      <c r="A8" s="598">
        <f>持有待售资产明细表!C8</f>
        <v>0</v>
      </c>
      <c r="B8" s="599">
        <f>持有待售资产明细表!J8</f>
        <v>0</v>
      </c>
      <c r="C8" s="600">
        <f>持有待售资产明细表!K8</f>
        <v>0</v>
      </c>
      <c r="D8" s="296">
        <f>持有待售资产明细表!L8</f>
        <v>0</v>
      </c>
      <c r="E8" s="296">
        <f>持有待售资产明细表!M8</f>
        <v>0</v>
      </c>
      <c r="F8" s="296">
        <f t="shared" si="0"/>
        <v>0</v>
      </c>
    </row>
    <row r="9" spans="1:6" ht="14.4">
      <c r="A9" s="598">
        <f>持有待售资产明细表!C9</f>
        <v>0</v>
      </c>
      <c r="B9" s="599">
        <f>持有待售资产明细表!J9</f>
        <v>0</v>
      </c>
      <c r="C9" s="600">
        <f>持有待售资产明细表!K9</f>
        <v>0</v>
      </c>
      <c r="D9" s="296">
        <f>持有待售资产明细表!L9</f>
        <v>0</v>
      </c>
      <c r="E9" s="296">
        <f>持有待售资产明细表!M9</f>
        <v>0</v>
      </c>
      <c r="F9" s="296">
        <f t="shared" si="0"/>
        <v>0</v>
      </c>
    </row>
    <row r="10" spans="1:6" ht="14.4">
      <c r="A10" s="598">
        <f>持有待售资产明细表!C10</f>
        <v>0</v>
      </c>
      <c r="B10" s="599">
        <f>持有待售资产明细表!J10</f>
        <v>0</v>
      </c>
      <c r="C10" s="600">
        <f>持有待售资产明细表!K10</f>
        <v>0</v>
      </c>
      <c r="D10" s="296">
        <f>持有待售资产明细表!L10</f>
        <v>0</v>
      </c>
      <c r="E10" s="296">
        <f>持有待售资产明细表!M10</f>
        <v>0</v>
      </c>
      <c r="F10" s="296">
        <f t="shared" si="0"/>
        <v>0</v>
      </c>
    </row>
    <row r="11" spans="1:6">
      <c r="A11" s="600"/>
      <c r="B11" s="599"/>
      <c r="C11" s="600"/>
      <c r="D11" s="296"/>
      <c r="E11" s="296"/>
      <c r="F11" s="296">
        <f t="shared" si="0"/>
        <v>0</v>
      </c>
    </row>
    <row r="12" spans="1:6" ht="14.4">
      <c r="A12" s="153" t="s">
        <v>204</v>
      </c>
      <c r="B12" s="548">
        <f>B6+B2</f>
        <v>0</v>
      </c>
      <c r="C12" s="548">
        <f t="shared" ref="C12:D12" si="1">C6+C2</f>
        <v>0</v>
      </c>
      <c r="D12" s="548">
        <f t="shared" si="1"/>
        <v>0</v>
      </c>
      <c r="E12" s="153"/>
      <c r="F12" s="153"/>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597-9D17-481A-A497-31CAC2C7FEA1}">
  <sheetPr codeName="Sheet148"/>
  <dimension ref="A1:S39"/>
  <sheetViews>
    <sheetView workbookViewId="0">
      <pane xSplit="1" ySplit="1" topLeftCell="F2" activePane="bottomRight" state="frozen"/>
      <selection pane="topRight" activeCell="B1" sqref="B1"/>
      <selection pane="bottomLeft" activeCell="A2" sqref="A2"/>
      <selection pane="bottomRight" activeCell="M12" sqref="M12"/>
    </sheetView>
  </sheetViews>
  <sheetFormatPr defaultRowHeight="13.8"/>
  <cols>
    <col min="1" max="1" width="9.5546875" style="229" bestFit="1" customWidth="1"/>
    <col min="2" max="2" width="10.6640625" style="229" bestFit="1" customWidth="1"/>
    <col min="3" max="4" width="9.5546875" style="229" bestFit="1" customWidth="1"/>
    <col min="5" max="5" width="13.88671875" style="229" bestFit="1" customWidth="1"/>
    <col min="6" max="6" width="18.33203125" style="229" bestFit="1" customWidth="1"/>
    <col min="7" max="9" width="9.5546875" style="229" bestFit="1" customWidth="1"/>
    <col min="10" max="10" width="13.88671875" style="229" bestFit="1" customWidth="1"/>
    <col min="11" max="13" width="13.88671875" style="229" customWidth="1"/>
    <col min="14" max="15" width="13.88671875" style="229" bestFit="1" customWidth="1"/>
    <col min="16" max="16" width="18.33203125" style="229" bestFit="1" customWidth="1"/>
    <col min="17" max="17" width="16.109375" style="229" bestFit="1" customWidth="1"/>
    <col min="18" max="18" width="13.88671875" style="229" bestFit="1" customWidth="1"/>
    <col min="19" max="19" width="5.5546875" style="229" bestFit="1" customWidth="1"/>
    <col min="20" max="16384" width="8.88671875" style="229"/>
  </cols>
  <sheetData>
    <row r="1" spans="1:19">
      <c r="A1" s="229" t="s">
        <v>2383</v>
      </c>
      <c r="B1" s="229" t="s">
        <v>3459</v>
      </c>
      <c r="C1" s="229" t="s">
        <v>2547</v>
      </c>
      <c r="D1" s="229" t="s">
        <v>3460</v>
      </c>
      <c r="E1" s="229" t="s">
        <v>1805</v>
      </c>
      <c r="F1" s="229" t="s">
        <v>3463</v>
      </c>
      <c r="G1" s="229" t="s">
        <v>359</v>
      </c>
      <c r="H1" s="229" t="s">
        <v>477</v>
      </c>
      <c r="I1" s="229" t="s">
        <v>3392</v>
      </c>
      <c r="J1" s="229" t="s">
        <v>2432</v>
      </c>
      <c r="K1" s="229" t="s">
        <v>357</v>
      </c>
      <c r="L1" s="229" t="s">
        <v>3462</v>
      </c>
      <c r="M1" s="229" t="s">
        <v>448</v>
      </c>
      <c r="N1" s="229" t="s">
        <v>2433</v>
      </c>
      <c r="O1" s="229" t="s">
        <v>2365</v>
      </c>
      <c r="P1" s="229" t="s">
        <v>3466</v>
      </c>
      <c r="Q1" s="519" t="s">
        <v>3467</v>
      </c>
      <c r="R1" s="229" t="s">
        <v>3461</v>
      </c>
      <c r="S1" s="229" t="s">
        <v>438</v>
      </c>
    </row>
    <row r="2" spans="1:19">
      <c r="A2" s="229" t="str">
        <f>IF(OR(I2&gt;0,D2&gt;0),基础信息!$B$1,"")</f>
        <v/>
      </c>
      <c r="B2" s="547"/>
      <c r="C2" s="288"/>
      <c r="D2" s="288"/>
      <c r="E2" s="288"/>
      <c r="F2" s="288"/>
      <c r="G2" s="288"/>
      <c r="H2" s="288"/>
      <c r="I2" s="229">
        <f>D2+G2-H2</f>
        <v>0</v>
      </c>
      <c r="J2" s="288"/>
      <c r="K2" s="288"/>
      <c r="L2" s="288"/>
      <c r="M2" s="288"/>
      <c r="N2" s="229">
        <f>J2+K2-L2-M2</f>
        <v>0</v>
      </c>
      <c r="O2" s="288"/>
      <c r="P2" s="288"/>
      <c r="Q2" s="288"/>
      <c r="R2" s="288"/>
    </row>
    <row r="3" spans="1:19">
      <c r="A3" s="229" t="str">
        <f>IF(OR(I3&gt;0,D3&gt;0),基础信息!$B$1,"")</f>
        <v/>
      </c>
      <c r="B3" s="547"/>
      <c r="C3" s="288"/>
      <c r="D3" s="288"/>
      <c r="E3" s="288"/>
      <c r="F3" s="288"/>
      <c r="G3" s="288"/>
      <c r="H3" s="288"/>
      <c r="I3" s="229">
        <f>D3+G3-H3</f>
        <v>0</v>
      </c>
      <c r="J3" s="288"/>
      <c r="K3" s="288"/>
      <c r="L3" s="288"/>
      <c r="M3" s="288"/>
      <c r="N3" s="229">
        <f t="shared" ref="N3:N25" si="0">J3+K3-L3-M3</f>
        <v>0</v>
      </c>
      <c r="O3" s="288"/>
      <c r="P3" s="288"/>
      <c r="Q3" s="288"/>
      <c r="R3" s="288"/>
    </row>
    <row r="4" spans="1:19">
      <c r="A4" s="229" t="str">
        <f>IF(OR(I4&gt;0,D4&gt;0),基础信息!$B$1,"")</f>
        <v/>
      </c>
      <c r="B4" s="547"/>
      <c r="C4" s="288"/>
      <c r="D4" s="288"/>
      <c r="E4" s="288"/>
      <c r="F4" s="288"/>
      <c r="G4" s="288"/>
      <c r="H4" s="288"/>
      <c r="I4" s="229">
        <f>D4+G4-H4</f>
        <v>0</v>
      </c>
      <c r="J4" s="288"/>
      <c r="K4" s="288"/>
      <c r="L4" s="288"/>
      <c r="M4" s="288"/>
      <c r="N4" s="229">
        <f t="shared" si="0"/>
        <v>0</v>
      </c>
      <c r="O4" s="288"/>
      <c r="P4" s="288"/>
      <c r="Q4" s="288"/>
      <c r="R4" s="288"/>
    </row>
    <row r="5" spans="1:19">
      <c r="A5" s="229" t="str">
        <f>IF(OR(I5&gt;0,D5&gt;0),基础信息!$B$1,"")</f>
        <v/>
      </c>
      <c r="B5" s="547"/>
      <c r="C5" s="288"/>
      <c r="D5" s="288"/>
      <c r="E5" s="288"/>
      <c r="F5" s="288"/>
      <c r="G5" s="288"/>
      <c r="H5" s="288"/>
      <c r="I5" s="229">
        <f t="shared" ref="I5:I25" si="1">D5+G5-H5</f>
        <v>0</v>
      </c>
      <c r="J5" s="288"/>
      <c r="K5" s="288"/>
      <c r="L5" s="288"/>
      <c r="M5" s="288"/>
      <c r="N5" s="229">
        <f t="shared" si="0"/>
        <v>0</v>
      </c>
      <c r="O5" s="288"/>
      <c r="P5" s="288"/>
      <c r="Q5" s="288"/>
      <c r="R5" s="288"/>
    </row>
    <row r="6" spans="1:19">
      <c r="A6" s="229" t="str">
        <f>IF(OR(I6&gt;0,D6&gt;0),基础信息!$B$1,"")</f>
        <v/>
      </c>
      <c r="B6" s="547"/>
      <c r="C6" s="288"/>
      <c r="D6" s="288"/>
      <c r="E6" s="288"/>
      <c r="F6" s="288"/>
      <c r="G6" s="288"/>
      <c r="H6" s="288"/>
      <c r="I6" s="229">
        <f t="shared" si="1"/>
        <v>0</v>
      </c>
      <c r="J6" s="288"/>
      <c r="K6" s="288"/>
      <c r="L6" s="288"/>
      <c r="M6" s="288"/>
      <c r="N6" s="229">
        <f t="shared" si="0"/>
        <v>0</v>
      </c>
      <c r="O6" s="288"/>
      <c r="P6" s="288"/>
      <c r="Q6" s="288"/>
      <c r="R6" s="288"/>
    </row>
    <row r="7" spans="1:19">
      <c r="A7" s="229" t="str">
        <f>IF(OR(I7&gt;0,D7&gt;0),基础信息!$B$1,"")</f>
        <v/>
      </c>
      <c r="B7" s="547"/>
      <c r="C7" s="288"/>
      <c r="D7" s="288"/>
      <c r="E7" s="288"/>
      <c r="F7" s="288"/>
      <c r="G7" s="288"/>
      <c r="H7" s="288"/>
      <c r="I7" s="229">
        <f t="shared" si="1"/>
        <v>0</v>
      </c>
      <c r="J7" s="288"/>
      <c r="K7" s="288"/>
      <c r="L7" s="288"/>
      <c r="M7" s="288"/>
      <c r="N7" s="229">
        <f t="shared" si="0"/>
        <v>0</v>
      </c>
      <c r="O7" s="288"/>
      <c r="P7" s="288"/>
      <c r="Q7" s="288"/>
      <c r="R7" s="288"/>
    </row>
    <row r="8" spans="1:19">
      <c r="A8" s="229" t="str">
        <f>IF(OR(I8&gt;0,D8&gt;0),基础信息!$B$1,"")</f>
        <v/>
      </c>
      <c r="B8" s="547"/>
      <c r="C8" s="288"/>
      <c r="D8" s="288"/>
      <c r="E8" s="288"/>
      <c r="F8" s="288"/>
      <c r="G8" s="288"/>
      <c r="H8" s="288"/>
      <c r="I8" s="229">
        <f t="shared" si="1"/>
        <v>0</v>
      </c>
      <c r="J8" s="288"/>
      <c r="K8" s="288"/>
      <c r="L8" s="288"/>
      <c r="M8" s="288"/>
      <c r="N8" s="229">
        <f t="shared" si="0"/>
        <v>0</v>
      </c>
      <c r="O8" s="288"/>
      <c r="P8" s="288"/>
      <c r="Q8" s="288"/>
      <c r="R8" s="288"/>
    </row>
    <row r="9" spans="1:19">
      <c r="A9" s="229" t="str">
        <f>IF(OR(I9&gt;0,D9&gt;0),基础信息!$B$1,"")</f>
        <v/>
      </c>
      <c r="B9" s="547"/>
      <c r="C9" s="288"/>
      <c r="D9" s="288"/>
      <c r="E9" s="288"/>
      <c r="F9" s="288"/>
      <c r="G9" s="288"/>
      <c r="H9" s="288"/>
      <c r="I9" s="229">
        <f t="shared" si="1"/>
        <v>0</v>
      </c>
      <c r="J9" s="288"/>
      <c r="K9" s="288"/>
      <c r="L9" s="288"/>
      <c r="M9" s="288"/>
      <c r="N9" s="229">
        <f t="shared" si="0"/>
        <v>0</v>
      </c>
      <c r="O9" s="288"/>
      <c r="P9" s="288"/>
      <c r="Q9" s="288"/>
      <c r="R9" s="288"/>
    </row>
    <row r="10" spans="1:19">
      <c r="A10" s="229" t="str">
        <f>IF(OR(I10&gt;0,D10&gt;0),基础信息!$B$1,"")</f>
        <v/>
      </c>
      <c r="B10" s="547"/>
      <c r="C10" s="288"/>
      <c r="D10" s="288"/>
      <c r="E10" s="288"/>
      <c r="F10" s="288"/>
      <c r="G10" s="288"/>
      <c r="H10" s="288"/>
      <c r="I10" s="229">
        <f t="shared" si="1"/>
        <v>0</v>
      </c>
      <c r="J10" s="288"/>
      <c r="K10" s="288"/>
      <c r="L10" s="288"/>
      <c r="M10" s="288"/>
      <c r="N10" s="229">
        <f t="shared" si="0"/>
        <v>0</v>
      </c>
      <c r="O10" s="288"/>
      <c r="P10" s="288"/>
      <c r="Q10" s="288"/>
      <c r="R10" s="288"/>
    </row>
    <row r="11" spans="1:19">
      <c r="A11" s="229" t="str">
        <f>IF(OR(I11&gt;0,D11&gt;0),基础信息!$B$1,"")</f>
        <v/>
      </c>
      <c r="B11" s="547"/>
      <c r="C11" s="288"/>
      <c r="D11" s="288"/>
      <c r="E11" s="288"/>
      <c r="F11" s="288"/>
      <c r="G11" s="288"/>
      <c r="H11" s="288"/>
      <c r="I11" s="229">
        <f t="shared" si="1"/>
        <v>0</v>
      </c>
      <c r="J11" s="288"/>
      <c r="K11" s="288"/>
      <c r="L11" s="288"/>
      <c r="M11" s="288"/>
      <c r="N11" s="229">
        <f t="shared" si="0"/>
        <v>0</v>
      </c>
      <c r="O11" s="288"/>
      <c r="P11" s="288"/>
      <c r="Q11" s="288"/>
      <c r="R11" s="288"/>
    </row>
    <row r="12" spans="1:19">
      <c r="A12" s="229" t="str">
        <f>IF(OR(I12&gt;0,D12&gt;0),基础信息!$B$1,"")</f>
        <v/>
      </c>
      <c r="B12" s="547"/>
      <c r="C12" s="288"/>
      <c r="D12" s="288"/>
      <c r="E12" s="288"/>
      <c r="F12" s="288"/>
      <c r="G12" s="288"/>
      <c r="H12" s="288"/>
      <c r="I12" s="229">
        <f t="shared" si="1"/>
        <v>0</v>
      </c>
      <c r="J12" s="288"/>
      <c r="K12" s="288"/>
      <c r="L12" s="288"/>
      <c r="M12" s="288"/>
      <c r="N12" s="229">
        <f t="shared" si="0"/>
        <v>0</v>
      </c>
      <c r="O12" s="288"/>
      <c r="P12" s="288"/>
      <c r="Q12" s="288"/>
      <c r="R12" s="288"/>
    </row>
    <row r="13" spans="1:19">
      <c r="A13" s="229" t="str">
        <f>IF(OR(I13&gt;0,D13&gt;0),基础信息!$B$1,"")</f>
        <v/>
      </c>
      <c r="B13" s="547"/>
      <c r="C13" s="288"/>
      <c r="D13" s="288"/>
      <c r="E13" s="288"/>
      <c r="F13" s="288"/>
      <c r="G13" s="288"/>
      <c r="H13" s="288"/>
      <c r="I13" s="229">
        <f t="shared" si="1"/>
        <v>0</v>
      </c>
      <c r="J13" s="288"/>
      <c r="K13" s="288"/>
      <c r="L13" s="288"/>
      <c r="M13" s="288"/>
      <c r="N13" s="229">
        <f t="shared" si="0"/>
        <v>0</v>
      </c>
      <c r="O13" s="288"/>
      <c r="P13" s="288"/>
      <c r="Q13" s="288"/>
      <c r="R13" s="288"/>
    </row>
    <row r="14" spans="1:19">
      <c r="A14" s="229" t="str">
        <f>IF(OR(I14&gt;0,D14&gt;0),基础信息!$B$1,"")</f>
        <v/>
      </c>
      <c r="B14" s="547"/>
      <c r="C14" s="288"/>
      <c r="D14" s="288"/>
      <c r="E14" s="288"/>
      <c r="F14" s="288"/>
      <c r="G14" s="288"/>
      <c r="H14" s="288"/>
      <c r="I14" s="229">
        <f t="shared" si="1"/>
        <v>0</v>
      </c>
      <c r="J14" s="288"/>
      <c r="K14" s="288"/>
      <c r="L14" s="288"/>
      <c r="M14" s="288"/>
      <c r="N14" s="229">
        <f t="shared" si="0"/>
        <v>0</v>
      </c>
      <c r="O14" s="288"/>
      <c r="P14" s="288"/>
      <c r="Q14" s="288"/>
      <c r="R14" s="288"/>
    </row>
    <row r="15" spans="1:19">
      <c r="A15" s="229" t="str">
        <f>IF(OR(I15&gt;0,D15&gt;0),基础信息!$B$1,"")</f>
        <v/>
      </c>
      <c r="B15" s="547"/>
      <c r="C15" s="288"/>
      <c r="D15" s="288"/>
      <c r="E15" s="288"/>
      <c r="F15" s="288"/>
      <c r="G15" s="288"/>
      <c r="H15" s="288"/>
      <c r="I15" s="229">
        <f t="shared" si="1"/>
        <v>0</v>
      </c>
      <c r="J15" s="288"/>
      <c r="K15" s="288"/>
      <c r="L15" s="288"/>
      <c r="M15" s="288"/>
      <c r="N15" s="229">
        <f t="shared" si="0"/>
        <v>0</v>
      </c>
      <c r="O15" s="288"/>
      <c r="P15" s="288"/>
      <c r="Q15" s="288"/>
      <c r="R15" s="288"/>
    </row>
    <row r="16" spans="1:19">
      <c r="A16" s="229" t="str">
        <f>IF(OR(I16&gt;0,D16&gt;0),基础信息!$B$1,"")</f>
        <v/>
      </c>
      <c r="B16" s="547"/>
      <c r="C16" s="288"/>
      <c r="D16" s="288"/>
      <c r="E16" s="288"/>
      <c r="F16" s="288"/>
      <c r="G16" s="288"/>
      <c r="H16" s="288"/>
      <c r="I16" s="229">
        <f t="shared" si="1"/>
        <v>0</v>
      </c>
      <c r="J16" s="288"/>
      <c r="K16" s="288"/>
      <c r="L16" s="288"/>
      <c r="M16" s="288"/>
      <c r="N16" s="229">
        <f t="shared" si="0"/>
        <v>0</v>
      </c>
      <c r="O16" s="288"/>
      <c r="P16" s="288"/>
      <c r="Q16" s="288"/>
      <c r="R16" s="288"/>
    </row>
    <row r="17" spans="1:18">
      <c r="A17" s="229" t="str">
        <f>IF(OR(I17&gt;0,D17&gt;0),基础信息!$B$1,"")</f>
        <v/>
      </c>
      <c r="B17" s="547"/>
      <c r="C17" s="288"/>
      <c r="D17" s="288"/>
      <c r="E17" s="288"/>
      <c r="F17" s="288"/>
      <c r="G17" s="288"/>
      <c r="H17" s="288"/>
      <c r="I17" s="229">
        <f t="shared" si="1"/>
        <v>0</v>
      </c>
      <c r="J17" s="288"/>
      <c r="K17" s="288"/>
      <c r="L17" s="288"/>
      <c r="M17" s="288"/>
      <c r="N17" s="229">
        <f t="shared" si="0"/>
        <v>0</v>
      </c>
      <c r="O17" s="288"/>
      <c r="P17" s="288"/>
      <c r="Q17" s="288"/>
      <c r="R17" s="288"/>
    </row>
    <row r="18" spans="1:18">
      <c r="A18" s="229" t="str">
        <f>IF(OR(I18&gt;0,D18&gt;0),基础信息!$B$1,"")</f>
        <v/>
      </c>
      <c r="B18" s="547"/>
      <c r="C18" s="288"/>
      <c r="D18" s="288"/>
      <c r="E18" s="288"/>
      <c r="F18" s="288"/>
      <c r="G18" s="288"/>
      <c r="H18" s="288"/>
      <c r="I18" s="229">
        <f t="shared" si="1"/>
        <v>0</v>
      </c>
      <c r="J18" s="288"/>
      <c r="K18" s="288"/>
      <c r="L18" s="288"/>
      <c r="M18" s="288"/>
      <c r="N18" s="229">
        <f t="shared" si="0"/>
        <v>0</v>
      </c>
      <c r="O18" s="288"/>
      <c r="P18" s="288"/>
      <c r="Q18" s="288"/>
      <c r="R18" s="288"/>
    </row>
    <row r="19" spans="1:18">
      <c r="A19" s="229" t="str">
        <f>IF(OR(I19&gt;0,D19&gt;0),基础信息!$B$1,"")</f>
        <v/>
      </c>
      <c r="B19" s="547"/>
      <c r="C19" s="288"/>
      <c r="D19" s="288"/>
      <c r="E19" s="288"/>
      <c r="F19" s="288"/>
      <c r="G19" s="288"/>
      <c r="H19" s="288"/>
      <c r="I19" s="229">
        <f t="shared" si="1"/>
        <v>0</v>
      </c>
      <c r="J19" s="288"/>
      <c r="K19" s="288"/>
      <c r="L19" s="288"/>
      <c r="M19" s="288"/>
      <c r="N19" s="229">
        <f t="shared" si="0"/>
        <v>0</v>
      </c>
      <c r="O19" s="288"/>
      <c r="P19" s="288"/>
      <c r="Q19" s="288"/>
      <c r="R19" s="288"/>
    </row>
    <row r="20" spans="1:18">
      <c r="A20" s="229" t="str">
        <f>IF(OR(I20&gt;0,D20&gt;0),基础信息!$B$1,"")</f>
        <v/>
      </c>
      <c r="B20" s="547"/>
      <c r="C20" s="288"/>
      <c r="D20" s="288"/>
      <c r="E20" s="288"/>
      <c r="F20" s="288"/>
      <c r="G20" s="288"/>
      <c r="H20" s="288"/>
      <c r="I20" s="229">
        <f t="shared" si="1"/>
        <v>0</v>
      </c>
      <c r="J20" s="288"/>
      <c r="K20" s="288"/>
      <c r="L20" s="288"/>
      <c r="M20" s="288"/>
      <c r="N20" s="229">
        <f t="shared" si="0"/>
        <v>0</v>
      </c>
      <c r="O20" s="288"/>
      <c r="P20" s="288"/>
      <c r="Q20" s="288"/>
      <c r="R20" s="288"/>
    </row>
    <row r="21" spans="1:18">
      <c r="A21" s="229" t="str">
        <f>IF(OR(I21&gt;0,D21&gt;0),基础信息!$B$1,"")</f>
        <v/>
      </c>
      <c r="B21" s="547"/>
      <c r="C21" s="288"/>
      <c r="D21" s="288"/>
      <c r="E21" s="288"/>
      <c r="F21" s="288"/>
      <c r="G21" s="288"/>
      <c r="H21" s="288"/>
      <c r="I21" s="229">
        <f t="shared" si="1"/>
        <v>0</v>
      </c>
      <c r="J21" s="288"/>
      <c r="K21" s="288"/>
      <c r="L21" s="288"/>
      <c r="M21" s="288"/>
      <c r="N21" s="229">
        <f t="shared" si="0"/>
        <v>0</v>
      </c>
      <c r="O21" s="288"/>
      <c r="P21" s="288"/>
      <c r="Q21" s="288"/>
      <c r="R21" s="288"/>
    </row>
    <row r="22" spans="1:18">
      <c r="A22" s="229" t="str">
        <f>IF(OR(I22&gt;0,D22&gt;0),基础信息!$B$1,"")</f>
        <v/>
      </c>
      <c r="B22" s="547"/>
      <c r="C22" s="288"/>
      <c r="D22" s="288"/>
      <c r="E22" s="288"/>
      <c r="F22" s="288"/>
      <c r="G22" s="288"/>
      <c r="H22" s="288"/>
      <c r="I22" s="229">
        <f t="shared" si="1"/>
        <v>0</v>
      </c>
      <c r="J22" s="288"/>
      <c r="K22" s="288"/>
      <c r="L22" s="288"/>
      <c r="M22" s="288"/>
      <c r="N22" s="229">
        <f t="shared" si="0"/>
        <v>0</v>
      </c>
      <c r="O22" s="288"/>
      <c r="P22" s="288"/>
      <c r="Q22" s="288"/>
      <c r="R22" s="288"/>
    </row>
    <row r="23" spans="1:18">
      <c r="A23" s="229" t="str">
        <f>IF(OR(I23&gt;0,D23&gt;0),基础信息!$B$1,"")</f>
        <v/>
      </c>
      <c r="B23" s="547"/>
      <c r="C23" s="288"/>
      <c r="D23" s="288"/>
      <c r="E23" s="288"/>
      <c r="F23" s="288"/>
      <c r="G23" s="288"/>
      <c r="H23" s="288"/>
      <c r="I23" s="229">
        <f t="shared" si="1"/>
        <v>0</v>
      </c>
      <c r="J23" s="288"/>
      <c r="K23" s="288"/>
      <c r="L23" s="288"/>
      <c r="M23" s="288"/>
      <c r="N23" s="229">
        <f t="shared" si="0"/>
        <v>0</v>
      </c>
      <c r="O23" s="288"/>
      <c r="P23" s="288"/>
      <c r="Q23" s="288"/>
      <c r="R23" s="288"/>
    </row>
    <row r="24" spans="1:18">
      <c r="A24" s="229" t="str">
        <f>IF(OR(I24&gt;0,D24&gt;0),基础信息!$B$1,"")</f>
        <v/>
      </c>
      <c r="B24" s="547"/>
      <c r="C24" s="288"/>
      <c r="D24" s="288"/>
      <c r="E24" s="288"/>
      <c r="F24" s="288"/>
      <c r="G24" s="288"/>
      <c r="H24" s="288"/>
      <c r="I24" s="229">
        <f t="shared" si="1"/>
        <v>0</v>
      </c>
      <c r="J24" s="288"/>
      <c r="K24" s="288"/>
      <c r="L24" s="288"/>
      <c r="M24" s="288"/>
      <c r="N24" s="229">
        <f t="shared" si="0"/>
        <v>0</v>
      </c>
      <c r="O24" s="288"/>
      <c r="P24" s="288"/>
      <c r="Q24" s="288"/>
      <c r="R24" s="288"/>
    </row>
    <row r="25" spans="1:18">
      <c r="A25" s="229" t="str">
        <f>IF(OR(I25&gt;0,D25&gt;0),基础信息!$B$1,"")</f>
        <v/>
      </c>
      <c r="B25" s="547"/>
      <c r="C25" s="288"/>
      <c r="D25" s="288"/>
      <c r="E25" s="288"/>
      <c r="F25" s="288"/>
      <c r="G25" s="288"/>
      <c r="H25" s="288"/>
      <c r="I25" s="229">
        <f t="shared" si="1"/>
        <v>0</v>
      </c>
      <c r="J25" s="288"/>
      <c r="K25" s="288"/>
      <c r="L25" s="288"/>
      <c r="M25" s="288"/>
      <c r="N25" s="229">
        <f t="shared" si="0"/>
        <v>0</v>
      </c>
      <c r="O25" s="288"/>
      <c r="P25" s="288"/>
      <c r="Q25" s="288"/>
      <c r="R25" s="288"/>
    </row>
    <row r="26" spans="1:18">
      <c r="B26" s="547"/>
    </row>
    <row r="27" spans="1:18">
      <c r="B27" s="547"/>
    </row>
    <row r="28" spans="1:18">
      <c r="B28" s="547"/>
    </row>
    <row r="29" spans="1:18">
      <c r="B29" s="547"/>
    </row>
    <row r="30" spans="1:18">
      <c r="B30" s="547"/>
    </row>
    <row r="31" spans="1:18">
      <c r="B31" s="547"/>
    </row>
    <row r="32" spans="1:18">
      <c r="B32" s="547"/>
    </row>
    <row r="33" spans="2:2">
      <c r="B33" s="547"/>
    </row>
    <row r="34" spans="2:2">
      <c r="B34" s="547"/>
    </row>
    <row r="35" spans="2:2">
      <c r="B35" s="547"/>
    </row>
    <row r="36" spans="2:2">
      <c r="B36" s="547"/>
    </row>
    <row r="37" spans="2:2">
      <c r="B37" s="547"/>
    </row>
    <row r="38" spans="2:2">
      <c r="B38" s="547"/>
    </row>
    <row r="39" spans="2:2">
      <c r="B39" s="54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337C8B0-1CC9-4ED3-BA64-4834BDA20878}">
          <x14:formula1>
            <xm:f>分类表!$92:$92</xm:f>
          </x14:formula1>
          <xm:sqref>B2:B39</xm:sqref>
        </x14:dataValidation>
      </x14:dataValidations>
    </ext>
  </extLst>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codeName="Sheet149">
    <tabColor rgb="FFFFC000"/>
  </sheetPr>
  <dimension ref="A1:C8"/>
  <sheetViews>
    <sheetView workbookViewId="0">
      <selection activeCell="F14" sqref="F14"/>
    </sheetView>
  </sheetViews>
  <sheetFormatPr defaultRowHeight="13.8"/>
  <cols>
    <col min="1" max="1" width="31.44140625" style="18" bestFit="1" customWidth="1"/>
    <col min="2" max="3" width="8.88671875" style="1"/>
    <col min="4" max="16384" width="8.88671875" style="18"/>
  </cols>
  <sheetData>
    <row r="1" spans="1:3" ht="14.4">
      <c r="A1" s="18" t="s">
        <v>28</v>
      </c>
      <c r="B1" s="530" t="s">
        <v>199</v>
      </c>
      <c r="C1" s="530" t="s">
        <v>200</v>
      </c>
    </row>
    <row r="2" spans="1:3">
      <c r="A2" s="276" t="s">
        <v>2218</v>
      </c>
      <c r="B2" s="136">
        <f>ROUND(SUMIF(一年内到期的非流动资产明细表!B:B,A2,一年内到期的非流动资产明细表!E:E),2)</f>
        <v>0</v>
      </c>
      <c r="C2" s="136">
        <f>ROUND(SUMIF(一年内到期的非流动资产明细表!B:B,一年内到期的非流动资产!A2,一年内到期的非流动资产明细表!H:H),2)</f>
        <v>0</v>
      </c>
    </row>
    <row r="3" spans="1:3">
      <c r="A3" s="276" t="s">
        <v>2219</v>
      </c>
      <c r="B3" s="136">
        <f>ROUND(SUMIF(一年内到期的非流动资产明细表!B:B,A3,一年内到期的非流动资产明细表!E:E),2)</f>
        <v>0</v>
      </c>
      <c r="C3" s="136">
        <f>ROUND(SUMIF(一年内到期的非流动资产明细表!B:B,一年内到期的非流动资产!A3,一年内到期的非流动资产明细表!H:H),2)</f>
        <v>0</v>
      </c>
    </row>
    <row r="4" spans="1:3">
      <c r="A4" s="276" t="s">
        <v>2220</v>
      </c>
      <c r="B4" s="136">
        <f>ROUND(SUMIF(一年内到期的非流动资产明细表!B:B,A4,一年内到期的非流动资产明细表!E:E),2)</f>
        <v>0</v>
      </c>
      <c r="C4" s="136">
        <f>ROUND(SUMIF(一年内到期的非流动资产明细表!B:B,一年内到期的非流动资产!A4,一年内到期的非流动资产明细表!H:H),2)</f>
        <v>0</v>
      </c>
    </row>
    <row r="5" spans="1:3">
      <c r="A5" s="276"/>
      <c r="B5" s="136">
        <f>ROUND(SUMIF(一年内到期的非流动资产明细表!B:B,A5,一年内到期的非流动资产明细表!E:E),2)</f>
        <v>0</v>
      </c>
      <c r="C5" s="136">
        <f>ROUND(SUMIF(一年内到期的非流动资产明细表!B:B,一年内到期的非流动资产!A5,一年内到期的非流动资产明细表!H:H),2)</f>
        <v>0</v>
      </c>
    </row>
    <row r="6" spans="1:3">
      <c r="A6" s="276"/>
      <c r="B6" s="136">
        <f>ROUND(SUMIF(一年内到期的非流动资产明细表!B:B,A6,一年内到期的非流动资产明细表!E:E),2)</f>
        <v>0</v>
      </c>
      <c r="C6" s="136">
        <f>ROUND(SUMIF(一年内到期的非流动资产明细表!B:B,一年内到期的非流动资产!A6,一年内到期的非流动资产明细表!H:H),2)</f>
        <v>0</v>
      </c>
    </row>
    <row r="7" spans="1:3">
      <c r="A7" s="276"/>
      <c r="B7" s="136">
        <f>ROUND(SUMIF(一年内到期的非流动资产明细表!B:B,A7,一年内到期的非流动资产明细表!E:E),2)</f>
        <v>0</v>
      </c>
      <c r="C7" s="136">
        <f>ROUND(SUMIF(一年内到期的非流动资产明细表!B:B,一年内到期的非流动资产!A7,一年内到期的非流动资产明细表!H:H),2)</f>
        <v>0</v>
      </c>
    </row>
    <row r="8" spans="1:3">
      <c r="A8" s="18" t="s">
        <v>204</v>
      </c>
      <c r="B8" s="1">
        <f>ROUND(SUM(B2:B7),2)</f>
        <v>0</v>
      </c>
      <c r="C8" s="1">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E6EC66-95CC-4AEC-B082-0CBF34A2665C}">
          <x14:formula1>
            <xm:f>分类表!$17:$17</xm:f>
          </x14:formula1>
          <xm:sqref>A2:A7</xm:sqref>
        </x14:dataValidation>
      </x14:dataValidations>
    </ext>
  </extLst>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B5DD-45A2-4B5C-8628-E6B46F67A2D6}">
  <sheetPr codeName="Sheet150"/>
  <dimension ref="A1:I16"/>
  <sheetViews>
    <sheetView workbookViewId="0">
      <selection activeCell="Q13" sqref="Q13"/>
    </sheetView>
  </sheetViews>
  <sheetFormatPr defaultRowHeight="13.8"/>
  <cols>
    <col min="2" max="9" width="8.88671875" style="229"/>
  </cols>
  <sheetData>
    <row r="1" spans="1:8">
      <c r="A1" s="229" t="s">
        <v>2383</v>
      </c>
      <c r="B1" s="229" t="s">
        <v>3471</v>
      </c>
      <c r="C1" s="229" t="s">
        <v>245</v>
      </c>
      <c r="D1" s="229" t="s">
        <v>3472</v>
      </c>
      <c r="E1" s="229" t="s">
        <v>318</v>
      </c>
      <c r="F1" s="229" t="s">
        <v>246</v>
      </c>
      <c r="G1" s="229" t="s">
        <v>3473</v>
      </c>
      <c r="H1" s="229" t="s">
        <v>320</v>
      </c>
    </row>
    <row r="2" spans="1:8">
      <c r="A2" s="229" t="str">
        <f>IF(OR(I2&gt;0,D2&gt;0),基础信息!$B$1,"")</f>
        <v/>
      </c>
      <c r="B2" s="547"/>
      <c r="C2" s="288"/>
      <c r="D2" s="288"/>
      <c r="E2" s="229">
        <f>C2-D2</f>
        <v>0</v>
      </c>
      <c r="F2" s="288"/>
      <c r="G2" s="288"/>
      <c r="H2" s="229">
        <f>F2-G2</f>
        <v>0</v>
      </c>
    </row>
    <row r="3" spans="1:8">
      <c r="A3" s="229" t="str">
        <f>IF(OR(I3&gt;0,D3&gt;0),基础信息!$B$1,"")</f>
        <v/>
      </c>
      <c r="B3" s="547"/>
      <c r="C3" s="288"/>
      <c r="D3" s="288"/>
      <c r="E3" s="229">
        <f t="shared" ref="E3:E16" si="0">C3-D3</f>
        <v>0</v>
      </c>
      <c r="F3" s="288"/>
      <c r="G3" s="288"/>
      <c r="H3" s="229">
        <f t="shared" ref="H3:H16" si="1">F3-G3</f>
        <v>0</v>
      </c>
    </row>
    <row r="4" spans="1:8">
      <c r="A4" s="229" t="str">
        <f>IF(OR(I4&gt;0,D4&gt;0),基础信息!$B$1,"")</f>
        <v/>
      </c>
      <c r="B4" s="547"/>
      <c r="C4" s="288"/>
      <c r="D4" s="288"/>
      <c r="E4" s="229">
        <f t="shared" si="0"/>
        <v>0</v>
      </c>
      <c r="F4" s="288"/>
      <c r="G4" s="288"/>
      <c r="H4" s="229">
        <f t="shared" si="1"/>
        <v>0</v>
      </c>
    </row>
    <row r="5" spans="1:8">
      <c r="A5" s="229" t="str">
        <f>IF(OR(I5&gt;0,D5&gt;0),基础信息!$B$1,"")</f>
        <v/>
      </c>
      <c r="B5" s="547"/>
      <c r="C5" s="288"/>
      <c r="D5" s="288"/>
      <c r="E5" s="229">
        <f t="shared" si="0"/>
        <v>0</v>
      </c>
      <c r="F5" s="288"/>
      <c r="G5" s="288"/>
      <c r="H5" s="229">
        <f t="shared" si="1"/>
        <v>0</v>
      </c>
    </row>
    <row r="6" spans="1:8">
      <c r="A6" s="229" t="str">
        <f>IF(OR(I6&gt;0,D6&gt;0),基础信息!$B$1,"")</f>
        <v/>
      </c>
      <c r="B6" s="547"/>
      <c r="C6" s="288"/>
      <c r="D6" s="288"/>
      <c r="E6" s="229">
        <f t="shared" si="0"/>
        <v>0</v>
      </c>
      <c r="F6" s="288"/>
      <c r="G6" s="288"/>
      <c r="H6" s="229">
        <f t="shared" si="1"/>
        <v>0</v>
      </c>
    </row>
    <row r="7" spans="1:8">
      <c r="A7" s="229" t="str">
        <f>IF(OR(I7&gt;0,D7&gt;0),基础信息!$B$1,"")</f>
        <v/>
      </c>
      <c r="B7" s="547"/>
      <c r="C7" s="288"/>
      <c r="D7" s="288"/>
      <c r="E7" s="229">
        <f t="shared" si="0"/>
        <v>0</v>
      </c>
      <c r="F7" s="288"/>
      <c r="G7" s="288"/>
      <c r="H7" s="229">
        <f t="shared" si="1"/>
        <v>0</v>
      </c>
    </row>
    <row r="8" spans="1:8">
      <c r="A8" s="229" t="str">
        <f>IF(OR(I8&gt;0,D8&gt;0),基础信息!$B$1,"")</f>
        <v/>
      </c>
      <c r="B8" s="547"/>
      <c r="C8" s="288"/>
      <c r="D8" s="288"/>
      <c r="E8" s="229">
        <f t="shared" si="0"/>
        <v>0</v>
      </c>
      <c r="F8" s="288"/>
      <c r="G8" s="288"/>
      <c r="H8" s="229">
        <f t="shared" si="1"/>
        <v>0</v>
      </c>
    </row>
    <row r="9" spans="1:8">
      <c r="A9" s="229" t="str">
        <f>IF(OR(I9&gt;0,D9&gt;0),基础信息!$B$1,"")</f>
        <v/>
      </c>
      <c r="B9" s="547"/>
      <c r="C9" s="288"/>
      <c r="D9" s="288"/>
      <c r="E9" s="229">
        <f t="shared" si="0"/>
        <v>0</v>
      </c>
      <c r="F9" s="288"/>
      <c r="G9" s="288"/>
      <c r="H9" s="229">
        <f t="shared" si="1"/>
        <v>0</v>
      </c>
    </row>
    <row r="10" spans="1:8">
      <c r="A10" s="229" t="str">
        <f>IF(OR(I10&gt;0,D10&gt;0),基础信息!$B$1,"")</f>
        <v/>
      </c>
      <c r="B10" s="547"/>
      <c r="C10" s="288"/>
      <c r="D10" s="288"/>
      <c r="E10" s="229">
        <f t="shared" si="0"/>
        <v>0</v>
      </c>
      <c r="F10" s="288"/>
      <c r="G10" s="288"/>
      <c r="H10" s="229">
        <f t="shared" si="1"/>
        <v>0</v>
      </c>
    </row>
    <row r="11" spans="1:8">
      <c r="A11" s="229" t="str">
        <f>IF(OR(I11&gt;0,D11&gt;0),基础信息!$B$1,"")</f>
        <v/>
      </c>
      <c r="B11" s="547"/>
      <c r="C11" s="288"/>
      <c r="D11" s="288"/>
      <c r="E11" s="229">
        <f t="shared" si="0"/>
        <v>0</v>
      </c>
      <c r="F11" s="288"/>
      <c r="G11" s="288"/>
      <c r="H11" s="229">
        <f t="shared" si="1"/>
        <v>0</v>
      </c>
    </row>
    <row r="12" spans="1:8">
      <c r="A12" s="229" t="str">
        <f>IF(OR(I12&gt;0,D12&gt;0),基础信息!$B$1,"")</f>
        <v/>
      </c>
      <c r="B12" s="547"/>
      <c r="C12" s="288"/>
      <c r="D12" s="288"/>
      <c r="E12" s="229">
        <f t="shared" si="0"/>
        <v>0</v>
      </c>
      <c r="F12" s="288"/>
      <c r="G12" s="288"/>
      <c r="H12" s="229">
        <f t="shared" si="1"/>
        <v>0</v>
      </c>
    </row>
    <row r="13" spans="1:8">
      <c r="A13" s="229" t="str">
        <f>IF(OR(I13&gt;0,D13&gt;0),基础信息!$B$1,"")</f>
        <v/>
      </c>
      <c r="B13" s="547"/>
      <c r="C13" s="288"/>
      <c r="D13" s="288"/>
      <c r="E13" s="229">
        <f t="shared" si="0"/>
        <v>0</v>
      </c>
      <c r="F13" s="288"/>
      <c r="G13" s="288"/>
      <c r="H13" s="229">
        <f t="shared" si="1"/>
        <v>0</v>
      </c>
    </row>
    <row r="14" spans="1:8">
      <c r="A14" s="229" t="str">
        <f>IF(OR(I14&gt;0,D14&gt;0),基础信息!$B$1,"")</f>
        <v/>
      </c>
      <c r="B14" s="547"/>
      <c r="C14" s="288"/>
      <c r="D14" s="288"/>
      <c r="E14" s="229">
        <f t="shared" si="0"/>
        <v>0</v>
      </c>
      <c r="F14" s="288"/>
      <c r="G14" s="288"/>
      <c r="H14" s="229">
        <f t="shared" si="1"/>
        <v>0</v>
      </c>
    </row>
    <row r="15" spans="1:8">
      <c r="A15" s="229" t="str">
        <f>IF(OR(I15&gt;0,D15&gt;0),基础信息!$B$1,"")</f>
        <v/>
      </c>
      <c r="B15" s="547"/>
      <c r="C15" s="288"/>
      <c r="D15" s="288"/>
      <c r="E15" s="229">
        <f t="shared" si="0"/>
        <v>0</v>
      </c>
      <c r="F15" s="288"/>
      <c r="G15" s="288"/>
      <c r="H15" s="229">
        <f t="shared" si="1"/>
        <v>0</v>
      </c>
    </row>
    <row r="16" spans="1:8">
      <c r="A16" s="229" t="str">
        <f>IF(OR(I16&gt;0,D16&gt;0),基础信息!$B$1,"")</f>
        <v/>
      </c>
      <c r="B16" s="547"/>
      <c r="C16" s="288"/>
      <c r="D16" s="288"/>
      <c r="E16" s="229">
        <f t="shared" si="0"/>
        <v>0</v>
      </c>
      <c r="F16" s="288"/>
      <c r="G16" s="288"/>
      <c r="H16"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F404F5-8D21-4F7C-A4B4-B8D6739E9542}">
          <x14:formula1>
            <xm:f>分类表!$17:$17</xm:f>
          </x14:formula1>
          <xm:sqref>B2:B16</xm:sqref>
        </x14:dataValidation>
      </x14:dataValidations>
    </ext>
  </extLst>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codeName="Sheet151">
    <tabColor rgb="FFFFC000"/>
  </sheetPr>
  <dimension ref="A1:C9"/>
  <sheetViews>
    <sheetView workbookViewId="0">
      <selection activeCell="G14" sqref="G14"/>
    </sheetView>
  </sheetViews>
  <sheetFormatPr defaultRowHeight="13.8"/>
  <cols>
    <col min="1" max="1" width="22.6640625" style="18" bestFit="1" customWidth="1"/>
    <col min="2" max="16384" width="8.88671875" style="18"/>
  </cols>
  <sheetData>
    <row r="1" spans="1:3" ht="14.4">
      <c r="A1" s="18" t="s">
        <v>28</v>
      </c>
      <c r="B1" s="32" t="s">
        <v>199</v>
      </c>
      <c r="C1" s="32" t="s">
        <v>200</v>
      </c>
    </row>
    <row r="2" spans="1:3">
      <c r="A2" s="276" t="s">
        <v>2212</v>
      </c>
      <c r="B2" s="1">
        <f>ROUND(SUMIF(其他流动资产明细表!B:B,A2,其他流动资产明细表!E:E),2)</f>
        <v>0</v>
      </c>
      <c r="C2" s="1">
        <f>ROUND(SUMIF(其他流动资产明细表!B:B,A2,其他流动资产明细表!H:H),2)</f>
        <v>0</v>
      </c>
    </row>
    <row r="3" spans="1:3">
      <c r="A3" s="276" t="s">
        <v>2215</v>
      </c>
      <c r="B3" s="1">
        <f>ROUND(SUMIF(其他流动资产明细表!B:B,A3,其他流动资产明细表!E:E),2)</f>
        <v>0</v>
      </c>
      <c r="C3" s="1">
        <f>ROUND(SUMIF(其他流动资产明细表!B:B,A3,其他流动资产明细表!H:H),2)</f>
        <v>0</v>
      </c>
    </row>
    <row r="4" spans="1:3">
      <c r="A4" s="276" t="s">
        <v>2216</v>
      </c>
      <c r="B4" s="1">
        <f>ROUND(SUMIF(其他流动资产明细表!B:B,A4,其他流动资产明细表!E:E),2)</f>
        <v>0</v>
      </c>
      <c r="C4" s="1">
        <f>ROUND(SUMIF(其他流动资产明细表!B:B,A4,其他流动资产明细表!H:H),2)</f>
        <v>0</v>
      </c>
    </row>
    <row r="5" spans="1:3">
      <c r="A5" s="276"/>
      <c r="B5" s="1">
        <f>ROUND(SUMIF(其他流动资产明细表!B:B,A5,其他流动资产明细表!E:E),2)</f>
        <v>0</v>
      </c>
      <c r="C5" s="1">
        <f>ROUND(SUMIF(其他流动资产明细表!B:B,A5,其他流动资产明细表!H:H),2)</f>
        <v>0</v>
      </c>
    </row>
    <row r="6" spans="1:3">
      <c r="A6" s="276"/>
      <c r="B6" s="1">
        <f>ROUND(SUMIF(其他流动资产明细表!B:B,A6,其他流动资产明细表!E:E),2)</f>
        <v>0</v>
      </c>
      <c r="C6" s="1">
        <f>ROUND(SUMIF(其他流动资产明细表!B:B,A6,其他流动资产明细表!H:H),2)</f>
        <v>0</v>
      </c>
    </row>
    <row r="7" spans="1:3">
      <c r="A7" s="276"/>
      <c r="B7" s="1">
        <f>ROUND(SUMIF(其他流动资产明细表!B:B,A7,其他流动资产明细表!E:E),2)</f>
        <v>0</v>
      </c>
      <c r="C7" s="1">
        <f>ROUND(SUMIF(其他流动资产明细表!B:B,A7,其他流动资产明细表!H:H),2)</f>
        <v>0</v>
      </c>
    </row>
    <row r="8" spans="1:3">
      <c r="A8" s="276"/>
      <c r="B8" s="1">
        <f>ROUND(SUMIF(其他流动资产明细表!B:B,A8,其他流动资产明细表!E:E),2)</f>
        <v>0</v>
      </c>
      <c r="C8" s="1">
        <f>ROUND(SUMIF(其他流动资产明细表!B:B,A8,其他流动资产明细表!H:H),2)</f>
        <v>0</v>
      </c>
    </row>
    <row r="9" spans="1:3">
      <c r="A9" s="18" t="s">
        <v>204</v>
      </c>
      <c r="B9" s="1">
        <f>ROUND(SUM(B2:B8),2)</f>
        <v>0</v>
      </c>
      <c r="C9" s="1">
        <f>ROUND(SUM(C2:C8),2)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3DFBC4-E855-475B-A5CE-54B0927D652F}">
          <x14:formula1>
            <xm:f>分类表!$18:$18</xm:f>
          </x14:formula1>
          <xm:sqref>A2:A8</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1A05-7AFC-42BA-BCB7-22B05DCDAC71}">
  <sheetPr codeName="Sheet152"/>
  <dimension ref="A1:I16"/>
  <sheetViews>
    <sheetView workbookViewId="0">
      <selection activeCell="H12" sqref="H12"/>
    </sheetView>
  </sheetViews>
  <sheetFormatPr defaultRowHeight="13.8"/>
  <cols>
    <col min="1" max="1" width="10.6640625" style="229" bestFit="1" customWidth="1"/>
    <col min="2" max="8" width="9.5546875" style="229" bestFit="1" customWidth="1"/>
    <col min="9" max="9" width="8.88671875" style="229"/>
  </cols>
  <sheetData>
    <row r="1" spans="1:8">
      <c r="A1" s="229" t="s">
        <v>2383</v>
      </c>
      <c r="B1" s="229" t="s">
        <v>3471</v>
      </c>
      <c r="C1" s="229" t="s">
        <v>245</v>
      </c>
      <c r="D1" s="229" t="s">
        <v>3472</v>
      </c>
      <c r="E1" s="229" t="s">
        <v>318</v>
      </c>
      <c r="F1" s="229" t="s">
        <v>246</v>
      </c>
      <c r="G1" s="229" t="s">
        <v>3473</v>
      </c>
      <c r="H1" s="229" t="s">
        <v>320</v>
      </c>
    </row>
    <row r="2" spans="1:8">
      <c r="A2" s="229" t="str">
        <f>IF(OR(C2&gt;0,F2&gt;0),基础信息!$B$1,"")</f>
        <v/>
      </c>
      <c r="B2" s="547"/>
      <c r="C2" s="288"/>
      <c r="D2" s="288"/>
      <c r="E2" s="229">
        <f>C2-D2</f>
        <v>0</v>
      </c>
      <c r="F2" s="288"/>
      <c r="G2" s="288"/>
      <c r="H2" s="229">
        <f>F2-G2</f>
        <v>0</v>
      </c>
    </row>
    <row r="3" spans="1:8">
      <c r="A3" s="229" t="str">
        <f>IF(OR(C3&gt;0,F3&gt;0),基础信息!$B$1,"")</f>
        <v/>
      </c>
      <c r="B3" s="547"/>
      <c r="C3" s="288"/>
      <c r="D3" s="288"/>
      <c r="E3" s="229">
        <f t="shared" ref="E3:E16" si="0">C3-D3</f>
        <v>0</v>
      </c>
      <c r="F3" s="288"/>
      <c r="G3" s="288"/>
      <c r="H3" s="229">
        <f t="shared" ref="H3:H16" si="1">F3-G3</f>
        <v>0</v>
      </c>
    </row>
    <row r="4" spans="1:8">
      <c r="A4" s="229" t="str">
        <f>IF(OR(C4&gt;0,F4&gt;0),基础信息!$B$1,"")</f>
        <v/>
      </c>
      <c r="B4" s="547"/>
      <c r="C4" s="288"/>
      <c r="D4" s="288"/>
      <c r="E4" s="229">
        <f t="shared" si="0"/>
        <v>0</v>
      </c>
      <c r="F4" s="288"/>
      <c r="G4" s="288"/>
      <c r="H4" s="229">
        <f t="shared" si="1"/>
        <v>0</v>
      </c>
    </row>
    <row r="5" spans="1:8">
      <c r="A5" s="229" t="str">
        <f>IF(OR(C5&gt;0,F5&gt;0),基础信息!$B$1,"")</f>
        <v/>
      </c>
      <c r="B5" s="547"/>
      <c r="C5" s="288"/>
      <c r="D5" s="288"/>
      <c r="E5" s="229">
        <f t="shared" si="0"/>
        <v>0</v>
      </c>
      <c r="F5" s="288"/>
      <c r="G5" s="288"/>
      <c r="H5" s="229">
        <f t="shared" si="1"/>
        <v>0</v>
      </c>
    </row>
    <row r="6" spans="1:8">
      <c r="A6" s="229" t="str">
        <f>IF(OR(C6&gt;0,F6&gt;0),基础信息!$B$1,"")</f>
        <v/>
      </c>
      <c r="B6" s="547"/>
      <c r="C6" s="288"/>
      <c r="D6" s="288"/>
      <c r="E6" s="229">
        <f t="shared" si="0"/>
        <v>0</v>
      </c>
      <c r="F6" s="288"/>
      <c r="G6" s="288"/>
      <c r="H6" s="229">
        <f t="shared" si="1"/>
        <v>0</v>
      </c>
    </row>
    <row r="7" spans="1:8">
      <c r="A7" s="229" t="str">
        <f>IF(OR(C7&gt;0,F7&gt;0),基础信息!$B$1,"")</f>
        <v/>
      </c>
      <c r="B7" s="547"/>
      <c r="C7" s="288"/>
      <c r="D7" s="288"/>
      <c r="E7" s="229">
        <f t="shared" si="0"/>
        <v>0</v>
      </c>
      <c r="F7" s="288"/>
      <c r="G7" s="288"/>
      <c r="H7" s="229">
        <f t="shared" si="1"/>
        <v>0</v>
      </c>
    </row>
    <row r="8" spans="1:8">
      <c r="A8" s="229" t="str">
        <f>IF(OR(C8&gt;0,F8&gt;0),基础信息!$B$1,"")</f>
        <v/>
      </c>
      <c r="B8" s="547"/>
      <c r="C8" s="288"/>
      <c r="D8" s="288"/>
      <c r="E8" s="229">
        <f t="shared" si="0"/>
        <v>0</v>
      </c>
      <c r="F8" s="288"/>
      <c r="G8" s="288"/>
      <c r="H8" s="229">
        <f t="shared" si="1"/>
        <v>0</v>
      </c>
    </row>
    <row r="9" spans="1:8">
      <c r="A9" s="229" t="str">
        <f>IF(OR(C9&gt;0,F9&gt;0),基础信息!$B$1,"")</f>
        <v/>
      </c>
      <c r="B9" s="547"/>
      <c r="C9" s="288"/>
      <c r="D9" s="288"/>
      <c r="E9" s="229">
        <f t="shared" si="0"/>
        <v>0</v>
      </c>
      <c r="F9" s="288"/>
      <c r="G9" s="288"/>
      <c r="H9" s="229">
        <f t="shared" si="1"/>
        <v>0</v>
      </c>
    </row>
    <row r="10" spans="1:8">
      <c r="A10" s="229" t="str">
        <f>IF(OR(C10&gt;0,F10&gt;0),基础信息!$B$1,"")</f>
        <v/>
      </c>
      <c r="B10" s="547"/>
      <c r="C10" s="288"/>
      <c r="D10" s="288"/>
      <c r="E10" s="229">
        <f t="shared" si="0"/>
        <v>0</v>
      </c>
      <c r="F10" s="288"/>
      <c r="G10" s="288"/>
      <c r="H10" s="229">
        <f t="shared" si="1"/>
        <v>0</v>
      </c>
    </row>
    <row r="11" spans="1:8">
      <c r="A11" s="229" t="str">
        <f>IF(OR(C11&gt;0,F11&gt;0),基础信息!$B$1,"")</f>
        <v/>
      </c>
      <c r="B11" s="547"/>
      <c r="C11" s="288"/>
      <c r="D11" s="288"/>
      <c r="E11" s="229">
        <f t="shared" si="0"/>
        <v>0</v>
      </c>
      <c r="F11" s="288"/>
      <c r="G11" s="288"/>
      <c r="H11" s="229">
        <f t="shared" si="1"/>
        <v>0</v>
      </c>
    </row>
    <row r="12" spans="1:8">
      <c r="A12" s="229" t="str">
        <f>IF(OR(C12&gt;0,F12&gt;0),基础信息!$B$1,"")</f>
        <v/>
      </c>
      <c r="B12" s="547"/>
      <c r="C12" s="288"/>
      <c r="D12" s="288"/>
      <c r="E12" s="229">
        <f t="shared" si="0"/>
        <v>0</v>
      </c>
      <c r="F12" s="288"/>
      <c r="G12" s="288"/>
      <c r="H12" s="229">
        <f t="shared" si="1"/>
        <v>0</v>
      </c>
    </row>
    <row r="13" spans="1:8">
      <c r="A13" s="229" t="str">
        <f>IF(OR(C13&gt;0,F13&gt;0),基础信息!$B$1,"")</f>
        <v/>
      </c>
      <c r="B13" s="547"/>
      <c r="C13" s="288"/>
      <c r="D13" s="288"/>
      <c r="E13" s="229">
        <f t="shared" si="0"/>
        <v>0</v>
      </c>
      <c r="F13" s="288"/>
      <c r="G13" s="288"/>
      <c r="H13" s="229">
        <f t="shared" si="1"/>
        <v>0</v>
      </c>
    </row>
    <row r="14" spans="1:8">
      <c r="A14" s="229" t="str">
        <f>IF(OR(C14&gt;0,F14&gt;0),基础信息!$B$1,"")</f>
        <v/>
      </c>
      <c r="B14" s="547"/>
      <c r="C14" s="288"/>
      <c r="D14" s="288"/>
      <c r="E14" s="229">
        <f t="shared" si="0"/>
        <v>0</v>
      </c>
      <c r="F14" s="288"/>
      <c r="G14" s="288"/>
      <c r="H14" s="229">
        <f t="shared" si="1"/>
        <v>0</v>
      </c>
    </row>
    <row r="15" spans="1:8">
      <c r="A15" s="229" t="str">
        <f>IF(OR(C15&gt;0,F15&gt;0),基础信息!$B$1,"")</f>
        <v/>
      </c>
      <c r="B15" s="547"/>
      <c r="C15" s="288"/>
      <c r="D15" s="288"/>
      <c r="E15" s="229">
        <f t="shared" si="0"/>
        <v>0</v>
      </c>
      <c r="F15" s="288"/>
      <c r="G15" s="288"/>
      <c r="H15" s="229">
        <f t="shared" si="1"/>
        <v>0</v>
      </c>
    </row>
    <row r="16" spans="1:8">
      <c r="A16" s="229" t="str">
        <f>IF(OR(C16&gt;0,F16&gt;0),基础信息!$B$1,"")</f>
        <v/>
      </c>
      <c r="B16" s="547"/>
      <c r="C16" s="288"/>
      <c r="D16" s="288"/>
      <c r="E16" s="229">
        <f t="shared" si="0"/>
        <v>0</v>
      </c>
      <c r="F16" s="288"/>
      <c r="G16" s="288"/>
      <c r="H16"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9C96A4-9DCF-4DB9-841A-3292F6F028F9}">
          <x14:formula1>
            <xm:f>分类表!$18:$18</xm:f>
          </x14:formula1>
          <xm:sqref>B2:B16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sheetPr codeName="Sheet13"/>
  <dimension ref="A1:C75"/>
  <sheetViews>
    <sheetView workbookViewId="0">
      <pane xSplit="1" ySplit="1" topLeftCell="B2" activePane="bottomRight" state="frozen"/>
      <selection pane="topRight" activeCell="B1" sqref="B1"/>
      <selection pane="bottomLeft" activeCell="A2" sqref="A2"/>
      <selection pane="bottomRight" activeCell="B17" sqref="B17"/>
    </sheetView>
  </sheetViews>
  <sheetFormatPr defaultRowHeight="13.8"/>
  <cols>
    <col min="1" max="1" width="57.77734375" style="18" bestFit="1" customWidth="1"/>
    <col min="2" max="3" width="20.44140625" style="18" bestFit="1" customWidth="1"/>
    <col min="4" max="16384" width="8.88671875" style="18"/>
  </cols>
  <sheetData>
    <row r="1" spans="1:3" ht="14.4">
      <c r="A1" s="87" t="s">
        <v>1292</v>
      </c>
      <c r="B1" s="88" t="s">
        <v>278</v>
      </c>
      <c r="C1" s="89" t="s">
        <v>397</v>
      </c>
    </row>
    <row r="2" spans="1:3" ht="14.4">
      <c r="A2" s="90" t="s">
        <v>1342</v>
      </c>
      <c r="B2" s="89"/>
      <c r="C2" s="89"/>
    </row>
    <row r="3" spans="1:3" ht="14.4">
      <c r="A3" s="91" t="s">
        <v>1343</v>
      </c>
      <c r="B3" s="92">
        <f>ROUND(本期TB!H110,2)</f>
        <v>0</v>
      </c>
      <c r="C3" s="92">
        <f>ROUND(上期TB!H110,2)</f>
        <v>0</v>
      </c>
    </row>
    <row r="4" spans="1:3" ht="14.4">
      <c r="A4" s="93" t="s">
        <v>1344</v>
      </c>
      <c r="B4" s="92">
        <f>ROUND(本期TB!H111,2)</f>
        <v>0</v>
      </c>
      <c r="C4" s="92">
        <f>ROUND(上期TB!H111,2)</f>
        <v>0</v>
      </c>
    </row>
    <row r="5" spans="1:3" ht="14.4">
      <c r="A5" s="93" t="s">
        <v>1345</v>
      </c>
      <c r="B5" s="92">
        <f>ROUND(本期TB!H112,2)</f>
        <v>0</v>
      </c>
      <c r="C5" s="92">
        <f>ROUND(上期TB!H112,2)</f>
        <v>0</v>
      </c>
    </row>
    <row r="6" spans="1:3" ht="14.4">
      <c r="A6" s="94" t="s">
        <v>1346</v>
      </c>
      <c r="B6" s="92">
        <f>ROUND(本期TB!H113,2)</f>
        <v>0</v>
      </c>
      <c r="C6" s="92">
        <f>ROUND(上期TB!H113,2)</f>
        <v>0</v>
      </c>
    </row>
    <row r="7" spans="1:3" ht="14.4">
      <c r="A7" s="91" t="s">
        <v>1347</v>
      </c>
      <c r="B7" s="92">
        <f>ROUND(本期TB!H114,2)</f>
        <v>0</v>
      </c>
      <c r="C7" s="92">
        <f>ROUND(上期TB!H114,2)</f>
        <v>0</v>
      </c>
    </row>
    <row r="8" spans="1:3" ht="14.4">
      <c r="A8" s="94" t="s">
        <v>1348</v>
      </c>
      <c r="B8" s="92">
        <f>ROUND(本期TB!H115,2)</f>
        <v>0</v>
      </c>
      <c r="C8" s="92">
        <f>ROUND(上期TB!H115,2)</f>
        <v>0</v>
      </c>
    </row>
    <row r="9" spans="1:3" ht="14.4">
      <c r="A9" s="94" t="s">
        <v>1349</v>
      </c>
      <c r="B9" s="92">
        <f>ROUND(本期TB!H116,2)</f>
        <v>0</v>
      </c>
      <c r="C9" s="92">
        <f>ROUND(上期TB!H116,2)</f>
        <v>0</v>
      </c>
    </row>
    <row r="10" spans="1:3" ht="14.4">
      <c r="A10" s="94" t="s">
        <v>1350</v>
      </c>
      <c r="B10" s="92">
        <f>ROUND(本期TB!H117,2)</f>
        <v>0</v>
      </c>
      <c r="C10" s="92">
        <f>ROUND(上期TB!H117,2)</f>
        <v>0</v>
      </c>
    </row>
    <row r="11" spans="1:3" ht="14.4">
      <c r="A11" s="91" t="s">
        <v>1351</v>
      </c>
      <c r="B11" s="92">
        <f>ROUND(本期TB!H119+本期TB!H118,2)</f>
        <v>0</v>
      </c>
      <c r="C11" s="92">
        <f>ROUND(上期TB!H119+上期TB!H118,2)</f>
        <v>0</v>
      </c>
    </row>
    <row r="12" spans="1:3" ht="14.4">
      <c r="A12" s="94" t="s">
        <v>1352</v>
      </c>
      <c r="B12" s="92">
        <f>ROUND(本期TB!H131,2)</f>
        <v>0</v>
      </c>
      <c r="C12" s="92">
        <f>ROUND(上期TB!H131,2)</f>
        <v>0</v>
      </c>
    </row>
    <row r="13" spans="1:3" ht="14.4">
      <c r="A13" s="93" t="s">
        <v>1353</v>
      </c>
      <c r="B13" s="92">
        <f>ROUND(本期TB!H120,2)</f>
        <v>0</v>
      </c>
      <c r="C13" s="92">
        <f>ROUND(上期TB!H120,2)</f>
        <v>0</v>
      </c>
    </row>
    <row r="14" spans="1:3" ht="14.4">
      <c r="A14" s="93" t="s">
        <v>1354</v>
      </c>
      <c r="B14" s="92">
        <f>ROUND(本期TB!H121,2)</f>
        <v>0</v>
      </c>
      <c r="C14" s="92">
        <f>ROUND(上期TB!H121,2)</f>
        <v>0</v>
      </c>
    </row>
    <row r="15" spans="1:3" ht="14.4">
      <c r="A15" s="93" t="s">
        <v>1355</v>
      </c>
      <c r="B15" s="92">
        <f>ROUND(本期TB!H122,2)</f>
        <v>0</v>
      </c>
      <c r="C15" s="92">
        <f>ROUND(上期TB!H122,2)</f>
        <v>0</v>
      </c>
    </row>
    <row r="16" spans="1:3" ht="14.4">
      <c r="A16" s="93" t="s">
        <v>1356</v>
      </c>
      <c r="B16" s="92">
        <f>ROUND(本期TB!H123,2)</f>
        <v>0</v>
      </c>
      <c r="C16" s="92">
        <f>ROUND(上期TB!H123,2)</f>
        <v>0</v>
      </c>
    </row>
    <row r="17" spans="1:3" ht="14.4">
      <c r="A17" s="91" t="s">
        <v>1357</v>
      </c>
      <c r="B17" s="92">
        <f>ROUND(本期TB!H124,2)</f>
        <v>0</v>
      </c>
      <c r="C17" s="92">
        <f>ROUND(上期TB!H124,2)</f>
        <v>0</v>
      </c>
    </row>
    <row r="18" spans="1:3" ht="14.4">
      <c r="A18" s="94" t="s">
        <v>1358</v>
      </c>
      <c r="B18" s="92"/>
      <c r="C18" s="92"/>
    </row>
    <row r="19" spans="1:3" ht="14.4">
      <c r="A19" s="94" t="s">
        <v>1359</v>
      </c>
      <c r="B19" s="92"/>
      <c r="C19" s="92"/>
    </row>
    <row r="20" spans="1:3" ht="14.4">
      <c r="A20" s="94" t="s">
        <v>1360</v>
      </c>
      <c r="B20" s="92"/>
      <c r="C20" s="92"/>
    </row>
    <row r="21" spans="1:3" ht="14.4">
      <c r="A21" s="95" t="s">
        <v>1361</v>
      </c>
      <c r="B21" s="92">
        <f>ROUND(本期TB!H125,2)</f>
        <v>0</v>
      </c>
      <c r="C21" s="92">
        <f>ROUND(上期TB!H125,2)</f>
        <v>0</v>
      </c>
    </row>
    <row r="22" spans="1:3" ht="14.4">
      <c r="A22" s="95" t="s">
        <v>1362</v>
      </c>
      <c r="B22" s="92"/>
      <c r="C22" s="92"/>
    </row>
    <row r="23" spans="1:3" ht="14.4">
      <c r="A23" s="91" t="s">
        <v>1363</v>
      </c>
      <c r="B23" s="92">
        <f>ROUND(本期TB!H126+本期TB!H127+本期TB!H128,2)</f>
        <v>0</v>
      </c>
      <c r="C23" s="92">
        <f>ROUND(上期TB!H126+上期TB!H127+上期TB!H128,2)</f>
        <v>0</v>
      </c>
    </row>
    <row r="24" spans="1:3" ht="14.4">
      <c r="A24" s="91" t="s">
        <v>3748</v>
      </c>
      <c r="B24" s="92"/>
      <c r="C24" s="92"/>
    </row>
    <row r="25" spans="1:3" ht="14.4">
      <c r="A25" s="93" t="s">
        <v>1364</v>
      </c>
      <c r="B25" s="92">
        <f>ROUND(本期TB!H129,2)</f>
        <v>0</v>
      </c>
      <c r="C25" s="92">
        <f>ROUND(上期TB!H129,2)</f>
        <v>0</v>
      </c>
    </row>
    <row r="26" spans="1:3" ht="14.4">
      <c r="A26" s="93" t="s">
        <v>1365</v>
      </c>
      <c r="B26" s="92">
        <f>ROUND(本期TB!H130,2)</f>
        <v>0</v>
      </c>
      <c r="C26" s="92">
        <f>ROUND(上期TB!H130,2)</f>
        <v>0</v>
      </c>
    </row>
    <row r="27" spans="1:3" ht="14.4">
      <c r="A27" s="94" t="s">
        <v>1366</v>
      </c>
      <c r="B27" s="92">
        <f>ROUND(本期TB!H132,2)</f>
        <v>0</v>
      </c>
      <c r="C27" s="92">
        <f>ROUND(上期TB!H132,2)</f>
        <v>0</v>
      </c>
    </row>
    <row r="28" spans="1:3" ht="14.4">
      <c r="A28" s="91" t="s">
        <v>1367</v>
      </c>
      <c r="B28" s="92">
        <f>ROUND(本期TB!H133,2)</f>
        <v>0</v>
      </c>
      <c r="C28" s="92">
        <f>ROUND(上期TB!H133,2)</f>
        <v>0</v>
      </c>
    </row>
    <row r="29" spans="1:3" ht="14.4">
      <c r="A29" s="91" t="s">
        <v>1368</v>
      </c>
      <c r="B29" s="92">
        <f>ROUND(本期TB!H134,2)</f>
        <v>0</v>
      </c>
      <c r="C29" s="92">
        <f>ROUND(上期TB!H134,2)</f>
        <v>0</v>
      </c>
    </row>
    <row r="30" spans="1:3" ht="14.4">
      <c r="A30" s="96" t="s">
        <v>1369</v>
      </c>
      <c r="B30" s="97">
        <f>ROUND(SUM(B3:B17,B21,B23:B29),2)-B24</f>
        <v>0</v>
      </c>
      <c r="C30" s="97">
        <f>ROUND(SUM(C3:C17,C21,C23:C29),2)-C24</f>
        <v>0</v>
      </c>
    </row>
    <row r="31" spans="1:3" ht="14.4">
      <c r="A31" s="90" t="s">
        <v>1370</v>
      </c>
      <c r="B31" s="98"/>
      <c r="C31" s="98"/>
    </row>
    <row r="32" spans="1:3" ht="14.4">
      <c r="A32" s="93" t="s">
        <v>1371</v>
      </c>
      <c r="B32" s="98">
        <f>ROUND(本期TB!H137,2)</f>
        <v>0</v>
      </c>
      <c r="C32" s="98">
        <f>ROUND(上期TB!H137,2)</f>
        <v>0</v>
      </c>
    </row>
    <row r="33" spans="1:3" ht="14.4">
      <c r="A33" s="91" t="s">
        <v>1372</v>
      </c>
      <c r="B33" s="98">
        <f>ROUND(本期TB!H138,2)</f>
        <v>0</v>
      </c>
      <c r="C33" s="98">
        <f>ROUND(上期TB!H138,2)</f>
        <v>0</v>
      </c>
    </row>
    <row r="34" spans="1:3" ht="14.4">
      <c r="A34" s="91" t="s">
        <v>1373</v>
      </c>
      <c r="B34" s="92">
        <f>ROUND(本期TB!H139,2)</f>
        <v>0</v>
      </c>
      <c r="C34" s="92">
        <f>ROUND(上期TB!H139,2)</f>
        <v>0</v>
      </c>
    </row>
    <row r="35" spans="1:3" ht="14.4">
      <c r="A35" s="94" t="s">
        <v>1374</v>
      </c>
      <c r="B35" s="92">
        <f>ROUND(本期TB!H140,2)</f>
        <v>0</v>
      </c>
      <c r="C35" s="92">
        <f>ROUND(上期TB!H140,2)</f>
        <v>0</v>
      </c>
    </row>
    <row r="36" spans="1:3" ht="14.4">
      <c r="A36" s="94" t="s">
        <v>1375</v>
      </c>
      <c r="B36" s="92">
        <f>ROUND(本期TB!H141,2)</f>
        <v>0</v>
      </c>
      <c r="C36" s="92">
        <f>ROUND(上期TB!H141,2)</f>
        <v>0</v>
      </c>
    </row>
    <row r="37" spans="1:3" ht="14.4">
      <c r="A37" s="99" t="s">
        <v>1376</v>
      </c>
      <c r="B37" s="92">
        <f>ROUND(本期TB!H142,2)</f>
        <v>0</v>
      </c>
      <c r="C37" s="92">
        <f>ROUND(上期TB!H142,2)</f>
        <v>0</v>
      </c>
    </row>
    <row r="38" spans="1:3" ht="14.4">
      <c r="A38" s="91" t="s">
        <v>1377</v>
      </c>
      <c r="B38" s="92">
        <f>ROUND(本期TB!H143+本期TB!H146,2)</f>
        <v>0</v>
      </c>
      <c r="C38" s="92">
        <f>ROUND(上期TB!H143+上期TB!H146,2)</f>
        <v>0</v>
      </c>
    </row>
    <row r="39" spans="1:3" ht="14.4">
      <c r="A39" s="95" t="s">
        <v>1378</v>
      </c>
      <c r="B39" s="92">
        <f>ROUND(本期TB!H147,2)</f>
        <v>0</v>
      </c>
      <c r="C39" s="92">
        <f>ROUND(上期TB!H147,2)</f>
        <v>0</v>
      </c>
    </row>
    <row r="40" spans="1:3" ht="14.4">
      <c r="A40" s="94" t="s">
        <v>1379</v>
      </c>
      <c r="B40" s="92">
        <f>ROUND(本期TB!H148,2)</f>
        <v>0</v>
      </c>
      <c r="C40" s="92">
        <f>ROUND(上期TB!H148,2)</f>
        <v>0</v>
      </c>
    </row>
    <row r="41" spans="1:3" ht="14.4">
      <c r="A41" s="91" t="s">
        <v>1380</v>
      </c>
      <c r="B41" s="92">
        <f>ROUND(本期TB!H149,2)</f>
        <v>0</v>
      </c>
      <c r="C41" s="92">
        <f>ROUND(上期TB!H149,2)</f>
        <v>0</v>
      </c>
    </row>
    <row r="42" spans="1:3" ht="14.4">
      <c r="A42" s="91" t="s">
        <v>1381</v>
      </c>
      <c r="B42" s="92">
        <f>ROUND(本期TB!H150,2)</f>
        <v>0</v>
      </c>
      <c r="C42" s="92">
        <f>ROUND(上期TB!H150,2)</f>
        <v>0</v>
      </c>
    </row>
    <row r="43" spans="1:3" ht="14.4">
      <c r="A43" s="91" t="s">
        <v>1382</v>
      </c>
      <c r="B43" s="92">
        <f>ROUND(本期TB!H151,2)</f>
        <v>0</v>
      </c>
      <c r="C43" s="92">
        <f>ROUND(上期TB!H151,2)</f>
        <v>0</v>
      </c>
    </row>
    <row r="44" spans="1:3" ht="14.4">
      <c r="A44" s="95" t="s">
        <v>1383</v>
      </c>
      <c r="B44" s="98"/>
      <c r="C44" s="98"/>
    </row>
    <row r="45" spans="1:3" ht="14.4">
      <c r="A45" s="96" t="s">
        <v>1384</v>
      </c>
      <c r="B45" s="97">
        <f>ROUND(SUM(B32:B34,B37:B43),2)</f>
        <v>0</v>
      </c>
      <c r="C45" s="97">
        <f>ROUND(SUM(C32:C34,C37:C43),2)</f>
        <v>0</v>
      </c>
    </row>
    <row r="46" spans="1:3" ht="14.4">
      <c r="A46" s="96" t="s">
        <v>1385</v>
      </c>
      <c r="B46" s="97">
        <f>ROUND(B45+B30,2)</f>
        <v>0</v>
      </c>
      <c r="C46" s="97">
        <f>ROUND(C45+C30,2)</f>
        <v>0</v>
      </c>
    </row>
    <row r="47" spans="1:3" ht="14.4">
      <c r="A47" s="90" t="s">
        <v>1386</v>
      </c>
      <c r="B47" s="98"/>
      <c r="C47" s="98"/>
    </row>
    <row r="48" spans="1:3" ht="14.4">
      <c r="A48" s="91" t="s">
        <v>1387</v>
      </c>
      <c r="B48" s="97">
        <f>ROUND(SUM(B49:B53),2)</f>
        <v>0</v>
      </c>
      <c r="C48" s="97">
        <f>ROUND(SUM(C49:C53),2)</f>
        <v>0</v>
      </c>
    </row>
    <row r="49" spans="1:3" ht="14.4">
      <c r="A49" s="91" t="s">
        <v>1388</v>
      </c>
      <c r="B49" s="92"/>
      <c r="C49" s="92"/>
    </row>
    <row r="50" spans="1:3" ht="14.4">
      <c r="A50" s="95" t="s">
        <v>1389</v>
      </c>
      <c r="B50" s="92">
        <f>ROUND(本期TB!H155,2)</f>
        <v>0</v>
      </c>
      <c r="C50" s="92">
        <f>ROUND(上期TB!H155,2)</f>
        <v>0</v>
      </c>
    </row>
    <row r="51" spans="1:3" ht="14.4">
      <c r="A51" s="94" t="s">
        <v>1390</v>
      </c>
      <c r="B51" s="92"/>
      <c r="C51" s="92"/>
    </row>
    <row r="52" spans="1:3" ht="14.4">
      <c r="A52" s="94" t="s">
        <v>1391</v>
      </c>
      <c r="B52" s="92"/>
      <c r="C52" s="92"/>
    </row>
    <row r="53" spans="1:3" ht="14.4">
      <c r="A53" s="94" t="s">
        <v>1392</v>
      </c>
      <c r="B53" s="92"/>
      <c r="C53" s="92"/>
    </row>
    <row r="54" spans="1:3" ht="14.4">
      <c r="A54" s="94" t="s">
        <v>1393</v>
      </c>
      <c r="B54" s="92"/>
      <c r="C54" s="92"/>
    </row>
    <row r="55" spans="1:3" ht="14.4">
      <c r="A55" s="94" t="s">
        <v>3123</v>
      </c>
      <c r="B55" s="97">
        <f>ROUND(B48-B54,2)</f>
        <v>0</v>
      </c>
      <c r="C55" s="97">
        <f>ROUND(C48-C54,2)</f>
        <v>0</v>
      </c>
    </row>
    <row r="56" spans="1:3" ht="14.4">
      <c r="A56" s="94" t="s">
        <v>1394</v>
      </c>
      <c r="B56" s="92">
        <f>ROUND(本期TB!H156,2)</f>
        <v>0</v>
      </c>
      <c r="C56" s="92">
        <f>ROUND(上期TB!H156,2)</f>
        <v>0</v>
      </c>
    </row>
    <row r="57" spans="1:3" ht="14.4">
      <c r="A57" s="94" t="s">
        <v>1374</v>
      </c>
      <c r="B57" s="92">
        <f>ROUND(本期TB!H157,2)</f>
        <v>0</v>
      </c>
      <c r="C57" s="92">
        <f>ROUND(上期TB!H157,2)</f>
        <v>0</v>
      </c>
    </row>
    <row r="58" spans="1:3" ht="14.4">
      <c r="A58" s="94" t="s">
        <v>1375</v>
      </c>
      <c r="B58" s="92">
        <f>ROUND(本期TB!H158,2)</f>
        <v>0</v>
      </c>
      <c r="C58" s="92">
        <f>ROUND(上期TB!H158,2)</f>
        <v>0</v>
      </c>
    </row>
    <row r="59" spans="1:3" ht="14.4">
      <c r="A59" s="94" t="s">
        <v>1395</v>
      </c>
      <c r="B59" s="92">
        <f>ROUND(本期TB!H159,2)</f>
        <v>0</v>
      </c>
      <c r="C59" s="92">
        <f>ROUND(上期TB!H159,2)</f>
        <v>0</v>
      </c>
    </row>
    <row r="60" spans="1:3" ht="14.4">
      <c r="A60" s="94" t="s">
        <v>1396</v>
      </c>
      <c r="B60" s="92">
        <f>ROUND(本期TB!H160,2)</f>
        <v>0</v>
      </c>
      <c r="C60" s="92">
        <f>ROUND(上期TB!H160,2)</f>
        <v>0</v>
      </c>
    </row>
    <row r="61" spans="1:3" ht="14.4">
      <c r="A61" s="94" t="s">
        <v>1397</v>
      </c>
      <c r="B61" s="92">
        <f>ROUND(本期TB!H161,2)</f>
        <v>0</v>
      </c>
      <c r="C61" s="92">
        <f>ROUND(上期TB!H161,2)</f>
        <v>0</v>
      </c>
    </row>
    <row r="62" spans="1:3" ht="14.4">
      <c r="A62" s="94" t="s">
        <v>1398</v>
      </c>
      <c r="B62" s="92"/>
      <c r="C62" s="92"/>
    </row>
    <row r="63" spans="1:3" ht="14.4">
      <c r="A63" s="94" t="s">
        <v>1399</v>
      </c>
      <c r="B63" s="92">
        <f>ROUND(本期TB!H162,2)</f>
        <v>0</v>
      </c>
      <c r="C63" s="92">
        <f>ROUND(上期TB!H162,2)</f>
        <v>0</v>
      </c>
    </row>
    <row r="64" spans="1:3" ht="14.4">
      <c r="A64" s="94" t="s">
        <v>1400</v>
      </c>
      <c r="B64" s="92">
        <f>ROUND(本期TB!H163,2)</f>
        <v>0</v>
      </c>
      <c r="C64" s="92">
        <f>ROUND(上期TB!H163,2)</f>
        <v>0</v>
      </c>
    </row>
    <row r="65" spans="1:3" ht="14.4">
      <c r="A65" s="94" t="s">
        <v>1401</v>
      </c>
      <c r="B65" s="92"/>
      <c r="C65" s="92"/>
    </row>
    <row r="66" spans="1:3" ht="14.4">
      <c r="A66" s="94" t="s">
        <v>1402</v>
      </c>
      <c r="B66" s="92"/>
      <c r="C66" s="92"/>
    </row>
    <row r="67" spans="1:3" ht="14.4">
      <c r="A67" s="94" t="s">
        <v>1403</v>
      </c>
      <c r="B67" s="92"/>
      <c r="C67" s="92"/>
    </row>
    <row r="68" spans="1:3" ht="14.4">
      <c r="A68" s="94" t="s">
        <v>1404</v>
      </c>
      <c r="B68" s="92"/>
      <c r="C68" s="92"/>
    </row>
    <row r="69" spans="1:3" ht="14.4">
      <c r="A69" s="94" t="s">
        <v>1405</v>
      </c>
      <c r="B69" s="92"/>
      <c r="C69" s="92"/>
    </row>
    <row r="70" spans="1:3" ht="14.4">
      <c r="A70" s="94" t="s">
        <v>1406</v>
      </c>
      <c r="B70" s="92">
        <f>ROUND(本期TB!H164,2)</f>
        <v>0</v>
      </c>
      <c r="C70" s="92">
        <f>ROUND(上期TB!H164,2)</f>
        <v>0</v>
      </c>
    </row>
    <row r="71" spans="1:3" ht="14.4">
      <c r="A71" s="94" t="s">
        <v>1407</v>
      </c>
      <c r="B71" s="92">
        <f>ROUND(本期TB!H165,2)</f>
        <v>0</v>
      </c>
      <c r="C71" s="92">
        <f>ROUND(上期TB!H165,2)</f>
        <v>0</v>
      </c>
    </row>
    <row r="72" spans="1:3" ht="14.4">
      <c r="A72" s="94" t="s">
        <v>3124</v>
      </c>
      <c r="B72" s="97">
        <f>ROUND(SUM(B55:B56,B59,-B60,B61,B63:B64,B70:B71),2)</f>
        <v>0</v>
      </c>
      <c r="C72" s="97">
        <f>ROUND(SUM(C55:C56,C59,-C60,C61,C63:C64,C70:C71),2)</f>
        <v>0</v>
      </c>
    </row>
    <row r="73" spans="1:3" ht="14.4">
      <c r="A73" s="94" t="s">
        <v>3125</v>
      </c>
      <c r="B73" s="92">
        <f>ROUND(本期TB!H167,2)</f>
        <v>0</v>
      </c>
      <c r="C73" s="92">
        <f>ROUND(上期TB!H167,2)</f>
        <v>0</v>
      </c>
    </row>
    <row r="74" spans="1:3" ht="14.4">
      <c r="A74" s="94" t="s">
        <v>3127</v>
      </c>
      <c r="B74" s="97">
        <f>ROUND(B72+B73,2)</f>
        <v>0</v>
      </c>
      <c r="C74" s="97">
        <f>ROUND(C72+C73,2)</f>
        <v>0</v>
      </c>
    </row>
    <row r="75" spans="1:3" ht="14.4">
      <c r="A75" s="94" t="s">
        <v>3126</v>
      </c>
      <c r="B75" s="97">
        <f>ROUND(B74+B46,2)</f>
        <v>0</v>
      </c>
      <c r="C75" s="97">
        <f>ROUND(C74+C46,2)</f>
        <v>0</v>
      </c>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codeName="Sheet153">
    <tabColor rgb="FFFFC000"/>
  </sheetPr>
  <dimension ref="A1:F9"/>
  <sheetViews>
    <sheetView workbookViewId="0">
      <selection activeCell="J13" sqref="J13"/>
    </sheetView>
  </sheetViews>
  <sheetFormatPr defaultRowHeight="13.8"/>
  <cols>
    <col min="1" max="16384" width="8.88671875" style="18"/>
  </cols>
  <sheetData>
    <row r="1" spans="1:6" ht="28.8">
      <c r="A1" s="19" t="s">
        <v>28</v>
      </c>
      <c r="B1" s="20" t="s">
        <v>265</v>
      </c>
      <c r="C1" s="20" t="s">
        <v>359</v>
      </c>
      <c r="D1" s="20" t="s">
        <v>360</v>
      </c>
      <c r="E1" s="20" t="s">
        <v>361</v>
      </c>
      <c r="F1" s="20" t="s">
        <v>203</v>
      </c>
    </row>
    <row r="2" spans="1:6" ht="14.4">
      <c r="A2" s="601">
        <f>合同取得成本明细表!B2</f>
        <v>0</v>
      </c>
      <c r="B2" s="293">
        <f>合同取得成本明细表!C2-合同取得成本明细表!G2</f>
        <v>0</v>
      </c>
      <c r="C2" s="293">
        <f>合同取得成本明细表!D2</f>
        <v>0</v>
      </c>
      <c r="D2" s="293">
        <f>合同取得成本明细表!E2</f>
        <v>0</v>
      </c>
      <c r="E2" s="293">
        <f>合同取得成本明细表!H2-合同取得成本明细表!J2</f>
        <v>0</v>
      </c>
      <c r="F2" s="68">
        <f>B2+C2-D2-E2</f>
        <v>0</v>
      </c>
    </row>
    <row r="3" spans="1:6" ht="14.4">
      <c r="A3" s="601">
        <f>合同取得成本明细表!B3</f>
        <v>0</v>
      </c>
      <c r="B3" s="293">
        <f>合同取得成本明细表!C3-合同取得成本明细表!G3</f>
        <v>0</v>
      </c>
      <c r="C3" s="293">
        <f>合同取得成本明细表!D3</f>
        <v>0</v>
      </c>
      <c r="D3" s="293">
        <f>合同取得成本明细表!E3</f>
        <v>0</v>
      </c>
      <c r="E3" s="293">
        <f>合同取得成本明细表!H3</f>
        <v>0</v>
      </c>
      <c r="F3" s="68">
        <f t="shared" ref="F3:F8" si="0">B3+C3-D3-E3</f>
        <v>0</v>
      </c>
    </row>
    <row r="4" spans="1:6" ht="14.4">
      <c r="A4" s="601">
        <f>合同取得成本明细表!B4</f>
        <v>0</v>
      </c>
      <c r="B4" s="293">
        <f>合同取得成本明细表!C4-合同取得成本明细表!G4</f>
        <v>0</v>
      </c>
      <c r="C4" s="293">
        <f>合同取得成本明细表!D4</f>
        <v>0</v>
      </c>
      <c r="D4" s="293">
        <f>合同取得成本明细表!E4</f>
        <v>0</v>
      </c>
      <c r="E4" s="293">
        <f>合同取得成本明细表!H4</f>
        <v>0</v>
      </c>
      <c r="F4" s="68">
        <f t="shared" si="0"/>
        <v>0</v>
      </c>
    </row>
    <row r="5" spans="1:6" ht="14.4">
      <c r="A5" s="601">
        <f>合同取得成本明细表!B5</f>
        <v>0</v>
      </c>
      <c r="B5" s="293">
        <f>合同取得成本明细表!C5-合同取得成本明细表!G5</f>
        <v>0</v>
      </c>
      <c r="C5" s="293">
        <f>合同取得成本明细表!D5</f>
        <v>0</v>
      </c>
      <c r="D5" s="293">
        <f>合同取得成本明细表!E5</f>
        <v>0</v>
      </c>
      <c r="E5" s="293">
        <f>合同取得成本明细表!H5</f>
        <v>0</v>
      </c>
      <c r="F5" s="68">
        <f t="shared" si="0"/>
        <v>0</v>
      </c>
    </row>
    <row r="6" spans="1:6" ht="14.4">
      <c r="A6" s="601">
        <f>合同取得成本明细表!B6</f>
        <v>0</v>
      </c>
      <c r="B6" s="293">
        <f>合同取得成本明细表!C6-合同取得成本明细表!G6</f>
        <v>0</v>
      </c>
      <c r="C6" s="293">
        <f>合同取得成本明细表!D6</f>
        <v>0</v>
      </c>
      <c r="D6" s="293">
        <f>合同取得成本明细表!E6</f>
        <v>0</v>
      </c>
      <c r="E6" s="293">
        <f>合同取得成本明细表!H6</f>
        <v>0</v>
      </c>
      <c r="F6" s="68">
        <f t="shared" si="0"/>
        <v>0</v>
      </c>
    </row>
    <row r="7" spans="1:6" ht="14.4">
      <c r="A7" s="601">
        <f>合同取得成本明细表!B7</f>
        <v>0</v>
      </c>
      <c r="B7" s="293">
        <f>合同取得成本明细表!C7-合同取得成本明细表!G7</f>
        <v>0</v>
      </c>
      <c r="C7" s="293">
        <f>合同取得成本明细表!D7</f>
        <v>0</v>
      </c>
      <c r="D7" s="293">
        <f>合同取得成本明细表!E7</f>
        <v>0</v>
      </c>
      <c r="E7" s="293">
        <f>合同取得成本明细表!H7</f>
        <v>0</v>
      </c>
      <c r="F7" s="68">
        <f t="shared" si="0"/>
        <v>0</v>
      </c>
    </row>
    <row r="8" spans="1:6" ht="14.4">
      <c r="A8" s="601">
        <f>合同取得成本明细表!B8</f>
        <v>0</v>
      </c>
      <c r="B8" s="293">
        <f>合同取得成本明细表!C8-合同取得成本明细表!G8</f>
        <v>0</v>
      </c>
      <c r="C8" s="293">
        <f>合同取得成本明细表!D8</f>
        <v>0</v>
      </c>
      <c r="D8" s="293">
        <f>合同取得成本明细表!E8</f>
        <v>0</v>
      </c>
      <c r="E8" s="293">
        <f>合同取得成本明细表!H8</f>
        <v>0</v>
      </c>
      <c r="F8" s="68">
        <f t="shared" si="0"/>
        <v>0</v>
      </c>
    </row>
    <row r="9" spans="1:6" ht="14.4">
      <c r="A9" s="333" t="s">
        <v>2404</v>
      </c>
      <c r="B9" s="68">
        <f>SUM(B2:B8)</f>
        <v>0</v>
      </c>
      <c r="C9" s="68">
        <f t="shared" ref="C9:F9" si="1">SUM(C2:C8)</f>
        <v>0</v>
      </c>
      <c r="D9" s="68">
        <f t="shared" si="1"/>
        <v>0</v>
      </c>
      <c r="E9" s="68">
        <f t="shared" si="1"/>
        <v>0</v>
      </c>
      <c r="F9" s="68">
        <f t="shared" si="1"/>
        <v>0</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945A-A83D-4281-9F2C-B83B2842769F}">
  <sheetPr codeName="Sheet154"/>
  <dimension ref="A1:J22"/>
  <sheetViews>
    <sheetView workbookViewId="0">
      <selection activeCell="C5" sqref="C5"/>
    </sheetView>
  </sheetViews>
  <sheetFormatPr defaultRowHeight="13.8"/>
  <cols>
    <col min="3" max="3" width="8.44140625" customWidth="1"/>
    <col min="6" max="6" width="8.88671875" style="229"/>
    <col min="7" max="10" width="10.6640625" style="229" bestFit="1" customWidth="1"/>
  </cols>
  <sheetData>
    <row r="1" spans="1:10">
      <c r="A1" t="s">
        <v>2383</v>
      </c>
      <c r="B1" t="s">
        <v>3474</v>
      </c>
      <c r="C1" t="s">
        <v>265</v>
      </c>
      <c r="D1" t="s">
        <v>359</v>
      </c>
      <c r="E1" t="s">
        <v>360</v>
      </c>
      <c r="F1" s="229" t="s">
        <v>203</v>
      </c>
      <c r="G1" s="229" t="s">
        <v>3473</v>
      </c>
      <c r="H1" s="229" t="s">
        <v>2349</v>
      </c>
      <c r="I1" s="229" t="s">
        <v>3475</v>
      </c>
      <c r="J1" s="229" t="s">
        <v>3472</v>
      </c>
    </row>
    <row r="2" spans="1:10">
      <c r="A2" s="229" t="str">
        <f>IF(OR(C2&gt;0,F2&gt;0),基础信息!$B$1,"")</f>
        <v/>
      </c>
      <c r="B2" s="255"/>
      <c r="C2" s="255"/>
      <c r="D2" s="255"/>
      <c r="E2" s="255"/>
      <c r="F2" s="229">
        <f>C2+D2-E2</f>
        <v>0</v>
      </c>
      <c r="G2" s="288"/>
      <c r="H2" s="288"/>
      <c r="I2" s="288"/>
      <c r="J2" s="229">
        <f>G2+H2-I2</f>
        <v>0</v>
      </c>
    </row>
    <row r="3" spans="1:10">
      <c r="A3" s="229" t="str">
        <f>IF(OR(C3&gt;0,F3&gt;0),基础信息!$B$1,"")</f>
        <v/>
      </c>
      <c r="B3" s="255"/>
      <c r="C3" s="255"/>
      <c r="D3" s="255"/>
      <c r="E3" s="255"/>
      <c r="F3" s="229">
        <f t="shared" ref="F3:F22" si="0">C3+D3-E3</f>
        <v>0</v>
      </c>
      <c r="G3" s="288"/>
      <c r="H3" s="288"/>
      <c r="I3" s="288"/>
      <c r="J3" s="229">
        <f t="shared" ref="J3:J22" si="1">G3+H3-I3</f>
        <v>0</v>
      </c>
    </row>
    <row r="4" spans="1:10">
      <c r="A4" s="229" t="str">
        <f>IF(OR(C4&gt;0,F4&gt;0),基础信息!$B$1,"")</f>
        <v/>
      </c>
      <c r="B4" s="255"/>
      <c r="C4" s="255"/>
      <c r="D4" s="255"/>
      <c r="E4" s="255"/>
      <c r="F4" s="229">
        <f t="shared" si="0"/>
        <v>0</v>
      </c>
      <c r="G4" s="288"/>
      <c r="H4" s="288"/>
      <c r="I4" s="288"/>
      <c r="J4" s="229">
        <f t="shared" si="1"/>
        <v>0</v>
      </c>
    </row>
    <row r="5" spans="1:10">
      <c r="A5" s="229" t="str">
        <f>IF(OR(C5&gt;0,F5&gt;0),基础信息!$B$1,"")</f>
        <v/>
      </c>
      <c r="B5" s="255"/>
      <c r="C5" s="255"/>
      <c r="D5" s="255"/>
      <c r="E5" s="255"/>
      <c r="F5" s="229">
        <f t="shared" si="0"/>
        <v>0</v>
      </c>
      <c r="G5" s="288"/>
      <c r="H5" s="288"/>
      <c r="I5" s="288"/>
      <c r="J5" s="229">
        <f t="shared" si="1"/>
        <v>0</v>
      </c>
    </row>
    <row r="6" spans="1:10">
      <c r="A6" s="229" t="str">
        <f>IF(OR(C6&gt;0,F6&gt;0),基础信息!$B$1,"")</f>
        <v/>
      </c>
      <c r="B6" s="255"/>
      <c r="C6" s="255"/>
      <c r="D6" s="255"/>
      <c r="E6" s="255"/>
      <c r="F6" s="229">
        <f t="shared" si="0"/>
        <v>0</v>
      </c>
      <c r="G6" s="288"/>
      <c r="H6" s="288"/>
      <c r="I6" s="288"/>
      <c r="J6" s="229">
        <f t="shared" si="1"/>
        <v>0</v>
      </c>
    </row>
    <row r="7" spans="1:10">
      <c r="A7" s="229" t="str">
        <f>IF(OR(C7&gt;0,F7&gt;0),基础信息!$B$1,"")</f>
        <v/>
      </c>
      <c r="B7" s="255"/>
      <c r="C7" s="255"/>
      <c r="D7" s="255"/>
      <c r="E7" s="255"/>
      <c r="F7" s="229">
        <f t="shared" si="0"/>
        <v>0</v>
      </c>
      <c r="G7" s="288"/>
      <c r="H7" s="288"/>
      <c r="I7" s="288"/>
      <c r="J7" s="229">
        <f t="shared" si="1"/>
        <v>0</v>
      </c>
    </row>
    <row r="8" spans="1:10">
      <c r="A8" s="229" t="str">
        <f>IF(OR(C8&gt;0,F8&gt;0),基础信息!$B$1,"")</f>
        <v/>
      </c>
      <c r="B8" s="255"/>
      <c r="C8" s="255"/>
      <c r="D8" s="255"/>
      <c r="E8" s="255"/>
      <c r="F8" s="229">
        <f t="shared" si="0"/>
        <v>0</v>
      </c>
      <c r="G8" s="288"/>
      <c r="H8" s="288"/>
      <c r="I8" s="288"/>
      <c r="J8" s="229">
        <f t="shared" si="1"/>
        <v>0</v>
      </c>
    </row>
    <row r="9" spans="1:10">
      <c r="A9" s="229" t="str">
        <f>IF(OR(C9&gt;0,F9&gt;0),基础信息!$B$1,"")</f>
        <v/>
      </c>
      <c r="B9" s="255"/>
      <c r="C9" s="255"/>
      <c r="D9" s="255"/>
      <c r="E9" s="255"/>
      <c r="F9" s="229">
        <f t="shared" si="0"/>
        <v>0</v>
      </c>
      <c r="G9" s="288"/>
      <c r="H9" s="288"/>
      <c r="I9" s="288"/>
      <c r="J9" s="229">
        <f t="shared" si="1"/>
        <v>0</v>
      </c>
    </row>
    <row r="10" spans="1:10">
      <c r="A10" s="229" t="str">
        <f>IF(OR(C10&gt;0,F10&gt;0),基础信息!$B$1,"")</f>
        <v/>
      </c>
      <c r="B10" s="255"/>
      <c r="C10" s="255"/>
      <c r="D10" s="255"/>
      <c r="E10" s="255"/>
      <c r="F10" s="229">
        <f t="shared" si="0"/>
        <v>0</v>
      </c>
      <c r="G10" s="288"/>
      <c r="H10" s="288"/>
      <c r="I10" s="288"/>
      <c r="J10" s="229">
        <f t="shared" si="1"/>
        <v>0</v>
      </c>
    </row>
    <row r="11" spans="1:10">
      <c r="A11" s="229" t="str">
        <f>IF(OR(C11&gt;0,F11&gt;0),基础信息!$B$1,"")</f>
        <v/>
      </c>
      <c r="B11" s="255"/>
      <c r="C11" s="255"/>
      <c r="D11" s="255"/>
      <c r="E11" s="255"/>
      <c r="F11" s="229">
        <f t="shared" si="0"/>
        <v>0</v>
      </c>
      <c r="G11" s="288"/>
      <c r="H11" s="288"/>
      <c r="I11" s="288"/>
      <c r="J11" s="229">
        <f t="shared" si="1"/>
        <v>0</v>
      </c>
    </row>
    <row r="12" spans="1:10">
      <c r="A12" s="229" t="str">
        <f>IF(OR(C12&gt;0,F12&gt;0),基础信息!$B$1,"")</f>
        <v/>
      </c>
      <c r="B12" s="255"/>
      <c r="C12" s="255"/>
      <c r="D12" s="255"/>
      <c r="E12" s="255"/>
      <c r="F12" s="229">
        <f t="shared" si="0"/>
        <v>0</v>
      </c>
      <c r="G12" s="288"/>
      <c r="H12" s="288"/>
      <c r="I12" s="288"/>
      <c r="J12" s="229">
        <f t="shared" si="1"/>
        <v>0</v>
      </c>
    </row>
    <row r="13" spans="1:10">
      <c r="A13" s="229" t="str">
        <f>IF(OR(C13&gt;0,F13&gt;0),基础信息!$B$1,"")</f>
        <v/>
      </c>
      <c r="B13" s="255"/>
      <c r="C13" s="255"/>
      <c r="D13" s="255"/>
      <c r="E13" s="255"/>
      <c r="F13" s="229">
        <f t="shared" si="0"/>
        <v>0</v>
      </c>
      <c r="G13" s="288"/>
      <c r="H13" s="288"/>
      <c r="I13" s="288"/>
      <c r="J13" s="229">
        <f t="shared" si="1"/>
        <v>0</v>
      </c>
    </row>
    <row r="14" spans="1:10">
      <c r="A14" s="229" t="str">
        <f>IF(OR(C14&gt;0,F14&gt;0),基础信息!$B$1,"")</f>
        <v/>
      </c>
      <c r="B14" s="255"/>
      <c r="C14" s="255"/>
      <c r="D14" s="255"/>
      <c r="E14" s="255"/>
      <c r="F14" s="229">
        <f t="shared" si="0"/>
        <v>0</v>
      </c>
      <c r="G14" s="288"/>
      <c r="H14" s="288"/>
      <c r="I14" s="288"/>
      <c r="J14" s="229">
        <f t="shared" si="1"/>
        <v>0</v>
      </c>
    </row>
    <row r="15" spans="1:10">
      <c r="A15" s="229" t="str">
        <f>IF(OR(C15&gt;0,F15&gt;0),基础信息!$B$1,"")</f>
        <v/>
      </c>
      <c r="B15" s="255"/>
      <c r="C15" s="255"/>
      <c r="D15" s="255"/>
      <c r="E15" s="255"/>
      <c r="F15" s="229">
        <f t="shared" si="0"/>
        <v>0</v>
      </c>
      <c r="G15" s="288"/>
      <c r="H15" s="288"/>
      <c r="I15" s="288"/>
      <c r="J15" s="229">
        <f t="shared" si="1"/>
        <v>0</v>
      </c>
    </row>
    <row r="16" spans="1:10">
      <c r="A16" s="229" t="str">
        <f>IF(OR(C16&gt;0,F16&gt;0),基础信息!$B$1,"")</f>
        <v/>
      </c>
      <c r="B16" s="255"/>
      <c r="C16" s="255"/>
      <c r="D16" s="255"/>
      <c r="E16" s="255"/>
      <c r="F16" s="229">
        <f t="shared" si="0"/>
        <v>0</v>
      </c>
      <c r="G16" s="288"/>
      <c r="H16" s="288"/>
      <c r="I16" s="288"/>
      <c r="J16" s="229">
        <f t="shared" si="1"/>
        <v>0</v>
      </c>
    </row>
    <row r="17" spans="1:10">
      <c r="A17" s="229" t="str">
        <f>IF(OR(C17&gt;0,F17&gt;0),基础信息!$B$1,"")</f>
        <v/>
      </c>
      <c r="B17" s="255"/>
      <c r="C17" s="255"/>
      <c r="D17" s="255"/>
      <c r="E17" s="255"/>
      <c r="F17" s="229">
        <f t="shared" si="0"/>
        <v>0</v>
      </c>
      <c r="G17" s="288"/>
      <c r="H17" s="288"/>
      <c r="I17" s="288"/>
      <c r="J17" s="229">
        <f t="shared" si="1"/>
        <v>0</v>
      </c>
    </row>
    <row r="18" spans="1:10">
      <c r="A18" s="229" t="str">
        <f>IF(OR(C18&gt;0,F18&gt;0),基础信息!$B$1,"")</f>
        <v/>
      </c>
      <c r="B18" s="255"/>
      <c r="C18" s="255"/>
      <c r="D18" s="255"/>
      <c r="E18" s="255"/>
      <c r="F18" s="229">
        <f t="shared" si="0"/>
        <v>0</v>
      </c>
      <c r="G18" s="288"/>
      <c r="H18" s="288"/>
      <c r="I18" s="288"/>
      <c r="J18" s="229">
        <f t="shared" si="1"/>
        <v>0</v>
      </c>
    </row>
    <row r="19" spans="1:10">
      <c r="A19" s="229" t="str">
        <f>IF(OR(C19&gt;0,F19&gt;0),基础信息!$B$1,"")</f>
        <v/>
      </c>
      <c r="B19" s="255"/>
      <c r="C19" s="255"/>
      <c r="D19" s="255"/>
      <c r="E19" s="255"/>
      <c r="F19" s="229">
        <f t="shared" si="0"/>
        <v>0</v>
      </c>
      <c r="G19" s="288"/>
      <c r="H19" s="288"/>
      <c r="I19" s="288"/>
      <c r="J19" s="229">
        <f t="shared" si="1"/>
        <v>0</v>
      </c>
    </row>
    <row r="20" spans="1:10">
      <c r="A20" s="229" t="str">
        <f>IF(OR(C20&gt;0,F20&gt;0),基础信息!$B$1,"")</f>
        <v/>
      </c>
      <c r="B20" s="255"/>
      <c r="C20" s="255"/>
      <c r="D20" s="255"/>
      <c r="E20" s="255"/>
      <c r="F20" s="229">
        <f t="shared" si="0"/>
        <v>0</v>
      </c>
      <c r="G20" s="288"/>
      <c r="H20" s="288"/>
      <c r="I20" s="288"/>
      <c r="J20" s="229">
        <f t="shared" si="1"/>
        <v>0</v>
      </c>
    </row>
    <row r="21" spans="1:10">
      <c r="A21" s="229" t="str">
        <f>IF(OR(C21&gt;0,F21&gt;0),基础信息!$B$1,"")</f>
        <v/>
      </c>
      <c r="B21" s="255"/>
      <c r="C21" s="255"/>
      <c r="D21" s="255"/>
      <c r="E21" s="255"/>
      <c r="F21" s="229">
        <f t="shared" si="0"/>
        <v>0</v>
      </c>
      <c r="G21" s="288"/>
      <c r="H21" s="288"/>
      <c r="I21" s="288"/>
      <c r="J21" s="229">
        <f t="shared" si="1"/>
        <v>0</v>
      </c>
    </row>
    <row r="22" spans="1:10">
      <c r="A22" s="229" t="str">
        <f>IF(OR(C22&gt;0,F22&gt;0),基础信息!$B$1,"")</f>
        <v/>
      </c>
      <c r="B22" s="255"/>
      <c r="C22" s="255"/>
      <c r="D22" s="255"/>
      <c r="E22" s="255"/>
      <c r="F22" s="229">
        <f t="shared" si="0"/>
        <v>0</v>
      </c>
      <c r="G22" s="288"/>
      <c r="H22" s="288"/>
      <c r="I22" s="288"/>
      <c r="J22" s="229">
        <f t="shared" si="1"/>
        <v>0</v>
      </c>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875B-235A-480B-8BD7-0C45D7839924}">
  <sheetPr codeName="Sheet155">
    <tabColor rgb="FFFFC000"/>
  </sheetPr>
  <dimension ref="A1:G4"/>
  <sheetViews>
    <sheetView workbookViewId="0">
      <selection activeCell="G2" sqref="G2"/>
    </sheetView>
  </sheetViews>
  <sheetFormatPr defaultRowHeight="13.8"/>
  <sheetData>
    <row r="1" spans="1:7" ht="28.8">
      <c r="A1" s="32" t="s">
        <v>28</v>
      </c>
      <c r="B1" s="32" t="s">
        <v>245</v>
      </c>
      <c r="C1" s="32" t="s">
        <v>271</v>
      </c>
      <c r="D1" s="32" t="s">
        <v>216</v>
      </c>
      <c r="E1" s="32" t="s">
        <v>246</v>
      </c>
      <c r="F1" s="32" t="s">
        <v>274</v>
      </c>
      <c r="G1" s="32" t="s">
        <v>221</v>
      </c>
    </row>
    <row r="2" spans="1:7" ht="14.4">
      <c r="A2" s="345" t="s">
        <v>365</v>
      </c>
      <c r="B2" s="293">
        <f>ROUND(SUMIF(债权投资明细表!B:B,A2,债权投资明细表!R:R),2)</f>
        <v>0</v>
      </c>
      <c r="C2" s="293">
        <f>ROUND(SUMIF(债权投资减值准备明细表!B:B,债权投资!A2,债权投资减值准备明细表!O:O),2)</f>
        <v>0</v>
      </c>
      <c r="D2" s="68">
        <f>ROUND(B2-C2,2)</f>
        <v>0</v>
      </c>
      <c r="E2" s="293">
        <f>ROUND(SUMIF(债权投资明细表!B:B,A2,债权投资明细表!J:J),2)</f>
        <v>0</v>
      </c>
      <c r="F2" s="293">
        <f>ROUND(SUMIF(债权投资减值准备明细表!B:B,债权投资!A2,债权投资减值准备明细表!D:D),2)</f>
        <v>0</v>
      </c>
      <c r="G2" s="68">
        <f>ROUND(E2-F2,2)</f>
        <v>0</v>
      </c>
    </row>
    <row r="3" spans="1:7" ht="14.4">
      <c r="A3" s="345" t="s">
        <v>367</v>
      </c>
      <c r="B3" s="293">
        <f>ROUND(SUMIF(债权投资明细表!B:B,A3,债权投资明细表!R:R),2)</f>
        <v>0</v>
      </c>
      <c r="C3" s="293">
        <f>ROUND(SUMIF(债权投资减值准备明细表!B:B,债权投资!A3,债权投资减值准备明细表!O:O),2)</f>
        <v>0</v>
      </c>
      <c r="D3" s="68">
        <f>ROUND(B3-C3,2)</f>
        <v>0</v>
      </c>
      <c r="E3" s="293">
        <f>ROUND(SUMIF(债权投资明细表!B:B,A3,债权投资明细表!J:J),2)</f>
        <v>0</v>
      </c>
      <c r="F3" s="293">
        <f>ROUND(SUMIF(债权投资减值准备明细表!B:B,债权投资!A3,债权投资减值准备明细表!D:D),2)</f>
        <v>0</v>
      </c>
      <c r="G3" s="68">
        <f>ROUND(E3-F3,2)</f>
        <v>0</v>
      </c>
    </row>
    <row r="4" spans="1:7" ht="14.4">
      <c r="A4" s="31" t="s">
        <v>204</v>
      </c>
      <c r="B4" s="68">
        <f t="shared" ref="B4:G4" si="0">ROUND(SUM(B2:B3),2)</f>
        <v>0</v>
      </c>
      <c r="C4" s="68">
        <f t="shared" si="0"/>
        <v>0</v>
      </c>
      <c r="D4" s="68">
        <f t="shared" si="0"/>
        <v>0</v>
      </c>
      <c r="E4" s="68">
        <f t="shared" si="0"/>
        <v>0</v>
      </c>
      <c r="F4" s="68">
        <f t="shared" si="0"/>
        <v>0</v>
      </c>
      <c r="G4"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377E10-B2C1-4880-BBF5-96108F465BC7}">
          <x14:formula1>
            <xm:f>分类表!$93:$93</xm:f>
          </x14:formula1>
          <xm:sqref>A2:A3</xm:sqref>
        </x14:dataValidation>
      </x14:dataValidations>
    </ext>
  </extLst>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BA01-930A-41EC-AA90-3F4A33A0869C}">
  <sheetPr codeName="Sheet156"/>
  <dimension ref="A1:AC18"/>
  <sheetViews>
    <sheetView workbookViewId="0">
      <selection activeCell="I22" sqref="I22"/>
    </sheetView>
  </sheetViews>
  <sheetFormatPr defaultRowHeight="13.8"/>
  <cols>
    <col min="4" max="5" width="13.88671875" bestFit="1" customWidth="1"/>
    <col min="6" max="6" width="11.6640625" bestFit="1" customWidth="1"/>
    <col min="7" max="9" width="13.88671875" bestFit="1" customWidth="1"/>
    <col min="10" max="10" width="15.109375" style="229" bestFit="1" customWidth="1"/>
    <col min="11" max="11" width="13.88671875" bestFit="1" customWidth="1"/>
    <col min="12" max="12" width="9.5546875" bestFit="1" customWidth="1"/>
    <col min="13" max="14" width="13.88671875" bestFit="1" customWidth="1"/>
    <col min="15" max="18" width="13.88671875" style="229" bestFit="1" customWidth="1"/>
    <col min="19" max="22" width="13.88671875" style="229" customWidth="1"/>
    <col min="23" max="23" width="15.109375" style="256" bestFit="1" customWidth="1"/>
    <col min="24" max="28" width="8.88671875" style="256"/>
    <col min="29" max="29" width="8.88671875" style="259"/>
  </cols>
  <sheetData>
    <row r="1" spans="1:28">
      <c r="A1" t="s">
        <v>2383</v>
      </c>
      <c r="B1" t="s">
        <v>3476</v>
      </c>
      <c r="C1" t="s">
        <v>3477</v>
      </c>
      <c r="D1" t="s">
        <v>3478</v>
      </c>
      <c r="E1" t="s">
        <v>3479</v>
      </c>
      <c r="F1" t="s">
        <v>3480</v>
      </c>
      <c r="G1" t="s">
        <v>3481</v>
      </c>
      <c r="H1" t="s">
        <v>3482</v>
      </c>
      <c r="I1" t="s">
        <v>3483</v>
      </c>
      <c r="J1" s="229" t="s">
        <v>217</v>
      </c>
      <c r="K1" t="s">
        <v>3484</v>
      </c>
      <c r="L1" t="s">
        <v>3485</v>
      </c>
      <c r="M1" t="s">
        <v>3486</v>
      </c>
      <c r="N1" t="s">
        <v>3487</v>
      </c>
      <c r="O1" s="229" t="s">
        <v>3488</v>
      </c>
      <c r="P1" s="229" t="s">
        <v>3489</v>
      </c>
      <c r="Q1" s="229" t="s">
        <v>3490</v>
      </c>
      <c r="R1" s="229" t="s">
        <v>214</v>
      </c>
      <c r="S1" t="s">
        <v>3491</v>
      </c>
      <c r="T1" t="s">
        <v>3492</v>
      </c>
      <c r="U1" t="s">
        <v>3493</v>
      </c>
      <c r="V1" t="s">
        <v>3494</v>
      </c>
      <c r="W1" s="259"/>
      <c r="X1" s="259"/>
      <c r="Y1" s="259"/>
      <c r="Z1" s="259"/>
      <c r="AA1" s="259"/>
      <c r="AB1" s="259"/>
    </row>
    <row r="2" spans="1:28">
      <c r="A2" s="229" t="str">
        <f>IF(OR(J2&gt;0,R2&gt;0),基础信息!$B$1,"")</f>
        <v/>
      </c>
      <c r="B2" s="276"/>
      <c r="C2" s="255"/>
      <c r="D2" s="255"/>
      <c r="E2" s="255"/>
      <c r="F2" s="255"/>
      <c r="G2" s="255"/>
      <c r="H2" s="255"/>
      <c r="I2" s="255"/>
      <c r="J2" s="229">
        <f>G2+H2+I2</f>
        <v>0</v>
      </c>
      <c r="K2" s="255"/>
      <c r="L2" s="255"/>
      <c r="M2" s="255"/>
      <c r="N2" s="255"/>
      <c r="O2" s="229">
        <f>G2+K2-L2</f>
        <v>0</v>
      </c>
      <c r="P2" s="229">
        <f>H2+M2</f>
        <v>0</v>
      </c>
      <c r="Q2" s="229">
        <f>I2+N2</f>
        <v>0</v>
      </c>
      <c r="R2" s="229">
        <f>O2+P2+Q2</f>
        <v>0</v>
      </c>
      <c r="S2" s="288"/>
      <c r="T2" s="288"/>
      <c r="U2" s="288"/>
      <c r="V2" s="288"/>
    </row>
    <row r="3" spans="1:28">
      <c r="A3" s="229" t="str">
        <f>IF(OR(J3&gt;0,R3&gt;0),基础信息!$B$1,"")</f>
        <v/>
      </c>
      <c r="B3" s="276"/>
      <c r="C3" s="255"/>
      <c r="D3" s="255"/>
      <c r="E3" s="255"/>
      <c r="F3" s="255"/>
      <c r="G3" s="255"/>
      <c r="H3" s="255"/>
      <c r="I3" s="255"/>
      <c r="J3" s="229">
        <f t="shared" ref="J3:J18" si="0">G3+H3+I3</f>
        <v>0</v>
      </c>
      <c r="K3" s="255"/>
      <c r="L3" s="255"/>
      <c r="M3" s="255"/>
      <c r="N3" s="255"/>
      <c r="O3" s="229">
        <f t="shared" ref="O3:O18" si="1">G3+K3-L3</f>
        <v>0</v>
      </c>
      <c r="P3" s="229">
        <f t="shared" ref="P3:P18" si="2">H3+M3</f>
        <v>0</v>
      </c>
      <c r="Q3" s="229">
        <f t="shared" ref="Q3:Q18" si="3">I3+N3</f>
        <v>0</v>
      </c>
      <c r="R3" s="229">
        <f t="shared" ref="R3:R18" si="4">O3+P3+Q3</f>
        <v>0</v>
      </c>
      <c r="S3" s="288"/>
      <c r="T3" s="288"/>
      <c r="U3" s="288"/>
      <c r="V3" s="288"/>
    </row>
    <row r="4" spans="1:28">
      <c r="A4" s="229" t="str">
        <f>IF(OR(J4&gt;0,R4&gt;0),基础信息!$B$1,"")</f>
        <v/>
      </c>
      <c r="B4" s="276"/>
      <c r="C4" s="255"/>
      <c r="D4" s="255"/>
      <c r="E4" s="255"/>
      <c r="F4" s="255"/>
      <c r="G4" s="255"/>
      <c r="H4" s="255"/>
      <c r="I4" s="255"/>
      <c r="J4" s="229">
        <f t="shared" si="0"/>
        <v>0</v>
      </c>
      <c r="K4" s="255"/>
      <c r="L4" s="255"/>
      <c r="M4" s="255"/>
      <c r="N4" s="255"/>
      <c r="O4" s="229">
        <f t="shared" si="1"/>
        <v>0</v>
      </c>
      <c r="P4" s="229">
        <f t="shared" si="2"/>
        <v>0</v>
      </c>
      <c r="Q4" s="229">
        <f t="shared" si="3"/>
        <v>0</v>
      </c>
      <c r="R4" s="229">
        <f t="shared" si="4"/>
        <v>0</v>
      </c>
      <c r="S4" s="288"/>
      <c r="T4" s="288"/>
      <c r="U4" s="288"/>
      <c r="V4" s="288"/>
    </row>
    <row r="5" spans="1:28">
      <c r="A5" s="229" t="str">
        <f>IF(OR(J5&gt;0,R5&gt;0),基础信息!$B$1,"")</f>
        <v/>
      </c>
      <c r="B5" s="276"/>
      <c r="C5" s="255"/>
      <c r="D5" s="255"/>
      <c r="E5" s="255"/>
      <c r="F5" s="255"/>
      <c r="G5" s="255"/>
      <c r="H5" s="255"/>
      <c r="I5" s="255"/>
      <c r="J5" s="229">
        <f t="shared" si="0"/>
        <v>0</v>
      </c>
      <c r="K5" s="255"/>
      <c r="L5" s="255"/>
      <c r="M5" s="255"/>
      <c r="N5" s="255"/>
      <c r="O5" s="229">
        <f t="shared" si="1"/>
        <v>0</v>
      </c>
      <c r="P5" s="229">
        <f t="shared" si="2"/>
        <v>0</v>
      </c>
      <c r="Q5" s="229">
        <f t="shared" si="3"/>
        <v>0</v>
      </c>
      <c r="R5" s="229">
        <f t="shared" si="4"/>
        <v>0</v>
      </c>
      <c r="S5" s="288"/>
      <c r="T5" s="288"/>
      <c r="U5" s="288"/>
      <c r="V5" s="288"/>
    </row>
    <row r="6" spans="1:28">
      <c r="A6" s="229" t="str">
        <f>IF(OR(J6&gt;0,R6&gt;0),基础信息!$B$1,"")</f>
        <v/>
      </c>
      <c r="B6" s="276"/>
      <c r="C6" s="255"/>
      <c r="D6" s="255"/>
      <c r="E6" s="255"/>
      <c r="F6" s="255"/>
      <c r="G6" s="255"/>
      <c r="H6" s="255"/>
      <c r="I6" s="255"/>
      <c r="J6" s="229">
        <f t="shared" si="0"/>
        <v>0</v>
      </c>
      <c r="K6" s="255"/>
      <c r="L6" s="255"/>
      <c r="M6" s="255"/>
      <c r="N6" s="255"/>
      <c r="O6" s="229">
        <f t="shared" si="1"/>
        <v>0</v>
      </c>
      <c r="P6" s="229">
        <f t="shared" si="2"/>
        <v>0</v>
      </c>
      <c r="Q6" s="229">
        <f t="shared" si="3"/>
        <v>0</v>
      </c>
      <c r="R6" s="229">
        <f t="shared" si="4"/>
        <v>0</v>
      </c>
      <c r="S6" s="288"/>
      <c r="T6" s="288"/>
      <c r="U6" s="288"/>
      <c r="V6" s="288"/>
    </row>
    <row r="7" spans="1:28">
      <c r="A7" s="229" t="str">
        <f>IF(OR(J7&gt;0,R7&gt;0),基础信息!$B$1,"")</f>
        <v/>
      </c>
      <c r="B7" s="276"/>
      <c r="C7" s="255"/>
      <c r="D7" s="255"/>
      <c r="E7" s="255"/>
      <c r="F7" s="255"/>
      <c r="G7" s="255"/>
      <c r="H7" s="255"/>
      <c r="I7" s="255"/>
      <c r="J7" s="229">
        <f t="shared" si="0"/>
        <v>0</v>
      </c>
      <c r="K7" s="255"/>
      <c r="L7" s="255"/>
      <c r="M7" s="255"/>
      <c r="N7" s="255"/>
      <c r="O7" s="229">
        <f t="shared" si="1"/>
        <v>0</v>
      </c>
      <c r="P7" s="229">
        <f t="shared" si="2"/>
        <v>0</v>
      </c>
      <c r="Q7" s="229">
        <f t="shared" si="3"/>
        <v>0</v>
      </c>
      <c r="R7" s="229">
        <f t="shared" si="4"/>
        <v>0</v>
      </c>
      <c r="S7" s="288"/>
      <c r="T7" s="288"/>
      <c r="U7" s="288"/>
      <c r="V7" s="288"/>
    </row>
    <row r="8" spans="1:28">
      <c r="A8" s="229" t="str">
        <f>IF(OR(J8&gt;0,R8&gt;0),基础信息!$B$1,"")</f>
        <v/>
      </c>
      <c r="B8" s="276"/>
      <c r="C8" s="255"/>
      <c r="D8" s="255"/>
      <c r="E8" s="255"/>
      <c r="F8" s="255"/>
      <c r="G8" s="255"/>
      <c r="H8" s="255"/>
      <c r="I8" s="255"/>
      <c r="J8" s="229">
        <f t="shared" si="0"/>
        <v>0</v>
      </c>
      <c r="K8" s="255"/>
      <c r="L8" s="255"/>
      <c r="M8" s="255"/>
      <c r="N8" s="255"/>
      <c r="O8" s="229">
        <f t="shared" si="1"/>
        <v>0</v>
      </c>
      <c r="P8" s="229">
        <f t="shared" si="2"/>
        <v>0</v>
      </c>
      <c r="Q8" s="229">
        <f t="shared" si="3"/>
        <v>0</v>
      </c>
      <c r="R8" s="229">
        <f t="shared" si="4"/>
        <v>0</v>
      </c>
      <c r="S8" s="288"/>
      <c r="T8" s="288"/>
      <c r="U8" s="288"/>
      <c r="V8" s="288"/>
    </row>
    <row r="9" spans="1:28">
      <c r="A9" s="229" t="str">
        <f>IF(OR(J9&gt;0,R9&gt;0),基础信息!$B$1,"")</f>
        <v/>
      </c>
      <c r="B9" s="276"/>
      <c r="C9" s="255"/>
      <c r="D9" s="255"/>
      <c r="E9" s="255"/>
      <c r="F9" s="255"/>
      <c r="G9" s="255"/>
      <c r="H9" s="255"/>
      <c r="I9" s="255"/>
      <c r="J9" s="229">
        <f t="shared" si="0"/>
        <v>0</v>
      </c>
      <c r="K9" s="255"/>
      <c r="L9" s="255"/>
      <c r="M9" s="255"/>
      <c r="N9" s="255"/>
      <c r="O9" s="229">
        <f t="shared" si="1"/>
        <v>0</v>
      </c>
      <c r="P9" s="229">
        <f t="shared" si="2"/>
        <v>0</v>
      </c>
      <c r="Q9" s="229">
        <f t="shared" si="3"/>
        <v>0</v>
      </c>
      <c r="R9" s="229">
        <f t="shared" si="4"/>
        <v>0</v>
      </c>
      <c r="S9" s="288"/>
      <c r="T9" s="288"/>
      <c r="U9" s="288"/>
      <c r="V9" s="288"/>
    </row>
    <row r="10" spans="1:28">
      <c r="A10" s="229" t="str">
        <f>IF(OR(J10&gt;0,R10&gt;0),基础信息!$B$1,"")</f>
        <v/>
      </c>
      <c r="B10" s="276"/>
      <c r="C10" s="255"/>
      <c r="D10" s="255"/>
      <c r="E10" s="255"/>
      <c r="F10" s="255"/>
      <c r="G10" s="255"/>
      <c r="H10" s="255"/>
      <c r="I10" s="255"/>
      <c r="J10" s="229">
        <f t="shared" si="0"/>
        <v>0</v>
      </c>
      <c r="K10" s="255"/>
      <c r="L10" s="255"/>
      <c r="M10" s="255"/>
      <c r="N10" s="255"/>
      <c r="O10" s="229">
        <f t="shared" si="1"/>
        <v>0</v>
      </c>
      <c r="P10" s="229">
        <f t="shared" si="2"/>
        <v>0</v>
      </c>
      <c r="Q10" s="229">
        <f t="shared" si="3"/>
        <v>0</v>
      </c>
      <c r="R10" s="229">
        <f t="shared" si="4"/>
        <v>0</v>
      </c>
      <c r="S10" s="288"/>
      <c r="T10" s="288"/>
      <c r="U10" s="288"/>
      <c r="V10" s="288"/>
    </row>
    <row r="11" spans="1:28">
      <c r="A11" s="229" t="str">
        <f>IF(OR(J11&gt;0,R11&gt;0),基础信息!$B$1,"")</f>
        <v/>
      </c>
      <c r="B11" s="276"/>
      <c r="C11" s="255"/>
      <c r="D11" s="255"/>
      <c r="E11" s="255"/>
      <c r="F11" s="255"/>
      <c r="G11" s="255"/>
      <c r="H11" s="255"/>
      <c r="I11" s="255"/>
      <c r="J11" s="229">
        <f t="shared" si="0"/>
        <v>0</v>
      </c>
      <c r="K11" s="255"/>
      <c r="L11" s="255"/>
      <c r="M11" s="255"/>
      <c r="N11" s="255"/>
      <c r="O11" s="229">
        <f t="shared" si="1"/>
        <v>0</v>
      </c>
      <c r="P11" s="229">
        <f t="shared" si="2"/>
        <v>0</v>
      </c>
      <c r="Q11" s="229">
        <f t="shared" si="3"/>
        <v>0</v>
      </c>
      <c r="R11" s="229">
        <f t="shared" si="4"/>
        <v>0</v>
      </c>
      <c r="S11" s="288"/>
      <c r="T11" s="288"/>
      <c r="U11" s="288"/>
      <c r="V11" s="288"/>
    </row>
    <row r="12" spans="1:28">
      <c r="A12" s="229" t="str">
        <f>IF(OR(J12&gt;0,R12&gt;0),基础信息!$B$1,"")</f>
        <v/>
      </c>
      <c r="B12" s="276"/>
      <c r="C12" s="255"/>
      <c r="D12" s="255"/>
      <c r="E12" s="255"/>
      <c r="F12" s="255"/>
      <c r="G12" s="255"/>
      <c r="H12" s="255"/>
      <c r="I12" s="255"/>
      <c r="J12" s="229">
        <f t="shared" si="0"/>
        <v>0</v>
      </c>
      <c r="K12" s="255"/>
      <c r="L12" s="255"/>
      <c r="M12" s="255"/>
      <c r="N12" s="255"/>
      <c r="O12" s="229">
        <f t="shared" si="1"/>
        <v>0</v>
      </c>
      <c r="P12" s="229">
        <f t="shared" si="2"/>
        <v>0</v>
      </c>
      <c r="Q12" s="229">
        <f t="shared" si="3"/>
        <v>0</v>
      </c>
      <c r="R12" s="229">
        <f t="shared" si="4"/>
        <v>0</v>
      </c>
      <c r="S12" s="288"/>
      <c r="T12" s="288"/>
      <c r="U12" s="288"/>
      <c r="V12" s="288"/>
    </row>
    <row r="13" spans="1:28">
      <c r="A13" s="229" t="str">
        <f>IF(OR(J13&gt;0,R13&gt;0),基础信息!$B$1,"")</f>
        <v/>
      </c>
      <c r="B13" s="276"/>
      <c r="C13" s="255"/>
      <c r="D13" s="255"/>
      <c r="E13" s="255"/>
      <c r="F13" s="255"/>
      <c r="G13" s="255"/>
      <c r="H13" s="255"/>
      <c r="I13" s="255"/>
      <c r="J13" s="229">
        <f t="shared" si="0"/>
        <v>0</v>
      </c>
      <c r="K13" s="255"/>
      <c r="L13" s="255"/>
      <c r="M13" s="255"/>
      <c r="N13" s="255"/>
      <c r="O13" s="229">
        <f t="shared" si="1"/>
        <v>0</v>
      </c>
      <c r="P13" s="229">
        <f t="shared" si="2"/>
        <v>0</v>
      </c>
      <c r="Q13" s="229">
        <f t="shared" si="3"/>
        <v>0</v>
      </c>
      <c r="R13" s="229">
        <f t="shared" si="4"/>
        <v>0</v>
      </c>
      <c r="S13" s="288"/>
      <c r="T13" s="288"/>
      <c r="U13" s="288"/>
      <c r="V13" s="288"/>
    </row>
    <row r="14" spans="1:28">
      <c r="A14" s="229" t="str">
        <f>IF(OR(J14&gt;0,R14&gt;0),基础信息!$B$1,"")</f>
        <v/>
      </c>
      <c r="B14" s="276"/>
      <c r="C14" s="255"/>
      <c r="D14" s="255"/>
      <c r="E14" s="255"/>
      <c r="F14" s="255"/>
      <c r="G14" s="255"/>
      <c r="H14" s="255"/>
      <c r="I14" s="255"/>
      <c r="J14" s="229">
        <f t="shared" si="0"/>
        <v>0</v>
      </c>
      <c r="K14" s="255"/>
      <c r="L14" s="255"/>
      <c r="M14" s="255"/>
      <c r="N14" s="255"/>
      <c r="O14" s="229">
        <f t="shared" si="1"/>
        <v>0</v>
      </c>
      <c r="P14" s="229">
        <f t="shared" si="2"/>
        <v>0</v>
      </c>
      <c r="Q14" s="229">
        <f t="shared" si="3"/>
        <v>0</v>
      </c>
      <c r="R14" s="229">
        <f t="shared" si="4"/>
        <v>0</v>
      </c>
      <c r="S14" s="288"/>
      <c r="T14" s="288"/>
      <c r="U14" s="288"/>
      <c r="V14" s="288"/>
    </row>
    <row r="15" spans="1:28">
      <c r="A15" s="229" t="str">
        <f>IF(OR(J15&gt;0,R15&gt;0),基础信息!$B$1,"")</f>
        <v/>
      </c>
      <c r="B15" s="276"/>
      <c r="C15" s="255"/>
      <c r="D15" s="255"/>
      <c r="E15" s="255"/>
      <c r="F15" s="255"/>
      <c r="G15" s="255"/>
      <c r="H15" s="255"/>
      <c r="I15" s="255"/>
      <c r="J15" s="229">
        <f t="shared" si="0"/>
        <v>0</v>
      </c>
      <c r="K15" s="255"/>
      <c r="L15" s="255"/>
      <c r="M15" s="255"/>
      <c r="N15" s="255"/>
      <c r="O15" s="229">
        <f t="shared" si="1"/>
        <v>0</v>
      </c>
      <c r="P15" s="229">
        <f t="shared" si="2"/>
        <v>0</v>
      </c>
      <c r="Q15" s="229">
        <f t="shared" si="3"/>
        <v>0</v>
      </c>
      <c r="R15" s="229">
        <f t="shared" si="4"/>
        <v>0</v>
      </c>
      <c r="S15" s="288"/>
      <c r="T15" s="288"/>
      <c r="U15" s="288"/>
      <c r="V15" s="288"/>
    </row>
    <row r="16" spans="1:28">
      <c r="A16" s="229" t="str">
        <f>IF(OR(J16&gt;0,R16&gt;0),基础信息!$B$1,"")</f>
        <v/>
      </c>
      <c r="B16" s="276"/>
      <c r="C16" s="255"/>
      <c r="D16" s="255"/>
      <c r="E16" s="255"/>
      <c r="F16" s="255"/>
      <c r="G16" s="255"/>
      <c r="H16" s="255"/>
      <c r="I16" s="255"/>
      <c r="J16" s="229">
        <f t="shared" si="0"/>
        <v>0</v>
      </c>
      <c r="K16" s="255"/>
      <c r="L16" s="255"/>
      <c r="M16" s="255"/>
      <c r="N16" s="255"/>
      <c r="O16" s="229">
        <f t="shared" si="1"/>
        <v>0</v>
      </c>
      <c r="P16" s="229">
        <f t="shared" si="2"/>
        <v>0</v>
      </c>
      <c r="Q16" s="229">
        <f t="shared" si="3"/>
        <v>0</v>
      </c>
      <c r="R16" s="229">
        <f t="shared" si="4"/>
        <v>0</v>
      </c>
      <c r="S16" s="288"/>
      <c r="T16" s="288"/>
      <c r="U16" s="288"/>
      <c r="V16" s="288"/>
    </row>
    <row r="17" spans="1:22">
      <c r="A17" s="229" t="str">
        <f>IF(OR(J17&gt;0,R17&gt;0),基础信息!$B$1,"")</f>
        <v/>
      </c>
      <c r="B17" s="276"/>
      <c r="C17" s="255"/>
      <c r="D17" s="255"/>
      <c r="E17" s="255"/>
      <c r="F17" s="255"/>
      <c r="G17" s="255"/>
      <c r="H17" s="255"/>
      <c r="I17" s="255"/>
      <c r="J17" s="229">
        <f t="shared" si="0"/>
        <v>0</v>
      </c>
      <c r="K17" s="255"/>
      <c r="L17" s="255"/>
      <c r="M17" s="255"/>
      <c r="N17" s="255"/>
      <c r="O17" s="229">
        <f t="shared" si="1"/>
        <v>0</v>
      </c>
      <c r="P17" s="229">
        <f t="shared" si="2"/>
        <v>0</v>
      </c>
      <c r="Q17" s="229">
        <f t="shared" si="3"/>
        <v>0</v>
      </c>
      <c r="R17" s="229">
        <f t="shared" si="4"/>
        <v>0</v>
      </c>
      <c r="S17" s="288"/>
      <c r="T17" s="288"/>
      <c r="U17" s="288"/>
      <c r="V17" s="288"/>
    </row>
    <row r="18" spans="1:22">
      <c r="A18" s="229" t="str">
        <f>IF(OR(J18&gt;0,R18&gt;0),基础信息!$B$1,"")</f>
        <v/>
      </c>
      <c r="B18" s="276"/>
      <c r="C18" s="255"/>
      <c r="D18" s="255"/>
      <c r="E18" s="255"/>
      <c r="F18" s="255"/>
      <c r="G18" s="255"/>
      <c r="H18" s="255"/>
      <c r="I18" s="255"/>
      <c r="J18" s="229">
        <f t="shared" si="0"/>
        <v>0</v>
      </c>
      <c r="K18" s="255"/>
      <c r="L18" s="255"/>
      <c r="M18" s="255"/>
      <c r="N18" s="255"/>
      <c r="O18" s="229">
        <f t="shared" si="1"/>
        <v>0</v>
      </c>
      <c r="P18" s="229">
        <f t="shared" si="2"/>
        <v>0</v>
      </c>
      <c r="Q18" s="229">
        <f t="shared" si="3"/>
        <v>0</v>
      </c>
      <c r="R18" s="229">
        <f t="shared" si="4"/>
        <v>0</v>
      </c>
      <c r="S18" s="288"/>
      <c r="T18" s="288"/>
      <c r="U18" s="288"/>
      <c r="V18" s="28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FA7008-3B3B-465F-BF81-500B8BE37EDC}">
          <x14:formula1>
            <xm:f>分类表!$93:$93</xm:f>
          </x14:formula1>
          <xm:sqref>B2:B18</xm:sqref>
        </x14:dataValidation>
      </x14:dataValidations>
    </ext>
  </extLst>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codeName="Sheet157">
    <tabColor rgb="FFFFC000"/>
  </sheetPr>
  <dimension ref="A1:E13"/>
  <sheetViews>
    <sheetView workbookViewId="0">
      <selection activeCell="J18" sqref="J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297</v>
      </c>
      <c r="C1" s="18" t="s">
        <v>298</v>
      </c>
      <c r="D1" s="18" t="s">
        <v>299</v>
      </c>
      <c r="E1" s="18" t="s">
        <v>204</v>
      </c>
    </row>
    <row r="2" spans="1:5">
      <c r="A2" s="18" t="s">
        <v>246</v>
      </c>
      <c r="B2" s="138">
        <f>ROUND(SUMIF(债权投资减值准备明细表!$C:$C,债权投资减值准备!B$1,债权投资减值准备明细表!$D:$D),2)</f>
        <v>0</v>
      </c>
      <c r="C2" s="138">
        <f>ROUND(SUMIF(债权投资减值准备明细表!$C:$C,债权投资减值准备!C$1,债权投资减值准备明细表!$D:$D),2)</f>
        <v>0</v>
      </c>
      <c r="D2" s="138">
        <f>ROUND(SUMIF(债权投资减值准备明细表!$C:$C,债权投资减值准备!D$1,债权投资减值准备明细表!$D:$D),2)</f>
        <v>0</v>
      </c>
      <c r="E2" s="133">
        <f t="shared" ref="E2:E12" si="0">ROUND(SUM(B2:D2),2)</f>
        <v>0</v>
      </c>
    </row>
    <row r="3" spans="1:5">
      <c r="A3" s="18" t="s">
        <v>305</v>
      </c>
      <c r="B3" s="138">
        <f>ROUND(SUMIF(债权投资减值准备明细表!$C:$C,债权投资减值准备!B$1,债权投资减值准备明细表!$E:$E),2)</f>
        <v>0</v>
      </c>
      <c r="C3" s="138">
        <f>ROUND(SUMIF(债权投资减值准备明细表!$C:$C,债权投资减值准备!C$1,债权投资减值准备明细表!$E:$E),2)</f>
        <v>0</v>
      </c>
      <c r="D3" s="138">
        <f>ROUND(SUMIF(债权投资减值准备明细表!$C:$C,债权投资减值准备!D$1,债权投资减值准备明细表!$E:$E),2)</f>
        <v>0</v>
      </c>
      <c r="E3" s="133">
        <f t="shared" si="0"/>
        <v>0</v>
      </c>
    </row>
    <row r="4" spans="1:5">
      <c r="A4" s="57" t="s">
        <v>306</v>
      </c>
      <c r="B4" s="138">
        <f>ROUND(SUMIF(债权投资减值准备明细表!$C:$C,债权投资减值准备!B$1,债权投资减值准备明细表!$F:$F),2)</f>
        <v>0</v>
      </c>
      <c r="C4" s="138">
        <f>ROUND(SUMIF(债权投资减值准备明细表!$C:$C,债权投资减值准备!C$1,债权投资减值准备明细表!$F:$F),2)</f>
        <v>0</v>
      </c>
      <c r="D4" s="138">
        <f>ROUND(SUMIF(债权投资减值准备明细表!$C:$C,债权投资减值准备!D$1,债权投资减值准备明细表!$F:$F),2)</f>
        <v>0</v>
      </c>
      <c r="E4" s="133">
        <f t="shared" si="0"/>
        <v>0</v>
      </c>
    </row>
    <row r="5" spans="1:5">
      <c r="A5" s="57" t="s">
        <v>307</v>
      </c>
      <c r="B5" s="138">
        <f>ROUND(SUMIF(债权投资减值准备明细表!$C:$C,债权投资减值准备!B$1,债权投资减值准备明细表!$G:$G),2)</f>
        <v>0</v>
      </c>
      <c r="C5" s="138">
        <f>ROUND(SUMIF(债权投资减值准备明细表!$C:$C,债权投资减值准备!C$1,债权投资减值准备明细表!$G:$G),2)</f>
        <v>0</v>
      </c>
      <c r="D5" s="138">
        <f>ROUND(SUMIF(债权投资减值准备明细表!$C:$C,债权投资减值准备!D$1,债权投资减值准备明细表!$G:$G),2)</f>
        <v>0</v>
      </c>
      <c r="E5" s="133">
        <f t="shared" si="0"/>
        <v>0</v>
      </c>
    </row>
    <row r="6" spans="1:5">
      <c r="A6" s="57" t="s">
        <v>308</v>
      </c>
      <c r="B6" s="138">
        <f>ROUND(SUMIF(债权投资减值准备明细表!$C:$C,债权投资减值准备!B$1,债权投资减值准备明细表!$H:$H),2)</f>
        <v>0</v>
      </c>
      <c r="C6" s="138">
        <f>ROUND(SUMIF(债权投资减值准备明细表!$C:$C,债权投资减值准备!C$1,债权投资减值准备明细表!$H:$H),2)</f>
        <v>0</v>
      </c>
      <c r="D6" s="138">
        <f>ROUND(SUMIF(债权投资减值准备明细表!$C:$C,债权投资减值准备!D$1,债权投资减值准备明细表!$H:$H),2)</f>
        <v>0</v>
      </c>
      <c r="E6" s="133">
        <f t="shared" si="0"/>
        <v>0</v>
      </c>
    </row>
    <row r="7" spans="1:5">
      <c r="A7" s="57" t="s">
        <v>309</v>
      </c>
      <c r="B7" s="138">
        <f>ROUND(SUMIF(债权投资减值准备明细表!$C:$C,债权投资减值准备!B$1,债权投资减值准备明细表!$I:$I),2)</f>
        <v>0</v>
      </c>
      <c r="C7" s="138">
        <f>ROUND(SUMIF(债权投资减值准备明细表!$C:$C,债权投资减值准备!C$1,债权投资减值准备明细表!$I:$I),2)</f>
        <v>0</v>
      </c>
      <c r="D7" s="138">
        <f>ROUND(SUMIF(债权投资减值准备明细表!$C:$C,债权投资减值准备!D$1,债权投资减值准备明细表!$I:$I),2)</f>
        <v>0</v>
      </c>
      <c r="E7" s="133">
        <f t="shared" si="0"/>
        <v>0</v>
      </c>
    </row>
    <row r="8" spans="1:5">
      <c r="A8" s="18" t="s">
        <v>300</v>
      </c>
      <c r="B8" s="138">
        <f>ROUND(SUMIF(债权投资减值准备明细表!$C:$C,债权投资减值准备!B$1,债权投资减值准备明细表!$J:$J),2)</f>
        <v>0</v>
      </c>
      <c r="C8" s="138">
        <f>ROUND(SUMIF(债权投资减值准备明细表!$C:$C,债权投资减值准备!C$1,债权投资减值准备明细表!$J:$J),2)</f>
        <v>0</v>
      </c>
      <c r="D8" s="138">
        <f>ROUND(SUMIF(债权投资减值准备明细表!$C:$C,债权投资减值准备!D$1,债权投资减值准备明细表!$J:$J),2)</f>
        <v>0</v>
      </c>
      <c r="E8" s="133">
        <f t="shared" si="0"/>
        <v>0</v>
      </c>
    </row>
    <row r="9" spans="1:5">
      <c r="A9" s="18" t="s">
        <v>301</v>
      </c>
      <c r="B9" s="138">
        <f>ROUND(SUMIF(债权投资减值准备明细表!$C:$C,债权投资减值准备!B$1,债权投资减值准备明细表!$K:$K),2)</f>
        <v>0</v>
      </c>
      <c r="C9" s="138">
        <f>ROUND(SUMIF(债权投资减值准备明细表!$C:$C,债权投资减值准备!C$1,债权投资减值准备明细表!$K:$K),2)</f>
        <v>0</v>
      </c>
      <c r="D9" s="138">
        <f>ROUND(SUMIF(债权投资减值准备明细表!$C:$C,债权投资减值准备!D$1,债权投资减值准备明细表!$K:$K),2)</f>
        <v>0</v>
      </c>
      <c r="E9" s="133">
        <f t="shared" si="0"/>
        <v>0</v>
      </c>
    </row>
    <row r="10" spans="1:5">
      <c r="A10" s="18" t="s">
        <v>302</v>
      </c>
      <c r="B10" s="138">
        <f>ROUND(SUMIF(债权投资减值准备明细表!$C:$C,债权投资减值准备!B$1,债权投资减值准备明细表!$L:$L),2)</f>
        <v>0</v>
      </c>
      <c r="C10" s="138">
        <f>ROUND(SUMIF(债权投资减值准备明细表!$C:$C,债权投资减值准备!C$1,债权投资减值准备明细表!$L:$L),2)</f>
        <v>0</v>
      </c>
      <c r="D10" s="138">
        <f>ROUND(SUMIF(债权投资减值准备明细表!$C:$C,债权投资减值准备!D$1,债权投资减值准备明细表!$L:$L),2)</f>
        <v>0</v>
      </c>
      <c r="E10" s="133">
        <f t="shared" si="0"/>
        <v>0</v>
      </c>
    </row>
    <row r="11" spans="1:5">
      <c r="A11" s="18" t="s">
        <v>303</v>
      </c>
      <c r="B11" s="138">
        <f>ROUND(SUMIF(债权投资减值准备明细表!$C:$C,债权投资减值准备!B$1,债权投资减值准备明细表!$M:$M),2)</f>
        <v>0</v>
      </c>
      <c r="C11" s="138">
        <f>ROUND(SUMIF(债权投资减值准备明细表!$C:$C,债权投资减值准备!C$1,债权投资减值准备明细表!$M:$M),2)</f>
        <v>0</v>
      </c>
      <c r="D11" s="138">
        <f>ROUND(SUMIF(债权投资减值准备明细表!$C:$C,债权投资减值准备!D$1,债权投资减值准备明细表!$M:$M),2)</f>
        <v>0</v>
      </c>
      <c r="E11" s="133">
        <f t="shared" si="0"/>
        <v>0</v>
      </c>
    </row>
    <row r="12" spans="1:5">
      <c r="A12" s="18" t="s">
        <v>304</v>
      </c>
      <c r="B12" s="138">
        <f>ROUND(SUMIF(债权投资减值准备明细表!$C:$C,债权投资减值准备!B$1,债权投资减值准备明细表!$N:$N),2)</f>
        <v>0</v>
      </c>
      <c r="C12" s="138">
        <f>ROUND(SUMIF(债权投资减值准备明细表!$C:$C,债权投资减值准备!C$1,债权投资减值准备明细表!$N:$N),2)</f>
        <v>0</v>
      </c>
      <c r="D12" s="138">
        <f>ROUND(SUMIF(债权投资减值准备明细表!$C:$C,债权投资减值准备!D$1,债权投资减值准备明细表!$N:$N),2)</f>
        <v>0</v>
      </c>
      <c r="E12" s="133">
        <f t="shared" si="0"/>
        <v>0</v>
      </c>
    </row>
    <row r="13" spans="1:5">
      <c r="A13" s="18" t="s">
        <v>245</v>
      </c>
      <c r="B13" s="133">
        <f>ROUND(SUM(B4:B12,B2),2)</f>
        <v>0</v>
      </c>
      <c r="C13" s="133">
        <f>ROUND(SUM(C4:C12,C2),2)</f>
        <v>0</v>
      </c>
      <c r="D13" s="133">
        <f>ROUND(SUM(D4:D12,D2),2)</f>
        <v>0</v>
      </c>
      <c r="E13" s="133">
        <f>ROUND(SUM(E4:E12,E2),2)</f>
        <v>0</v>
      </c>
    </row>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76B14-F0DF-40AC-A481-30AF3220A9E0}">
  <sheetPr codeName="Sheet158"/>
  <dimension ref="A1:O18"/>
  <sheetViews>
    <sheetView workbookViewId="0">
      <selection activeCell="A4" sqref="A4"/>
    </sheetView>
  </sheetViews>
  <sheetFormatPr defaultRowHeight="13.8"/>
  <cols>
    <col min="2" max="2" width="9.5546875" bestFit="1" customWidth="1"/>
    <col min="3" max="3" width="9.5546875" customWidth="1"/>
    <col min="5" max="9" width="16.109375" style="229" bestFit="1" customWidth="1"/>
    <col min="10" max="11" width="9.5546875" style="229" bestFit="1" customWidth="1"/>
    <col min="12" max="15" width="8.88671875" style="229"/>
  </cols>
  <sheetData>
    <row r="1" spans="1:15">
      <c r="A1" t="s">
        <v>2383</v>
      </c>
      <c r="B1" t="s">
        <v>3476</v>
      </c>
      <c r="C1" t="s">
        <v>3500</v>
      </c>
      <c r="D1" t="s">
        <v>578</v>
      </c>
      <c r="E1" s="229" t="s">
        <v>3495</v>
      </c>
      <c r="F1" s="229" t="s">
        <v>3496</v>
      </c>
      <c r="G1" s="229" t="s">
        <v>3497</v>
      </c>
      <c r="H1" s="229" t="s">
        <v>3498</v>
      </c>
      <c r="I1" s="229" t="s">
        <v>3499</v>
      </c>
      <c r="J1" s="229" t="s">
        <v>300</v>
      </c>
      <c r="K1" s="229" t="s">
        <v>301</v>
      </c>
      <c r="L1" s="229" t="s">
        <v>302</v>
      </c>
      <c r="M1" s="229" t="s">
        <v>303</v>
      </c>
      <c r="N1" s="229" t="s">
        <v>304</v>
      </c>
      <c r="O1" s="229" t="s">
        <v>390</v>
      </c>
    </row>
    <row r="2" spans="1:15">
      <c r="A2" s="229" t="str">
        <f>IF(OR(K2&gt;0,S2&gt;0),基础信息!$B$1,"")</f>
        <v/>
      </c>
      <c r="B2" s="276"/>
      <c r="C2" s="276"/>
      <c r="D2" s="255"/>
      <c r="E2" s="229">
        <f>SUM(F2:I2)</f>
        <v>0</v>
      </c>
      <c r="F2" s="288"/>
      <c r="G2" s="288"/>
      <c r="H2" s="288"/>
      <c r="I2" s="288"/>
      <c r="J2" s="288"/>
      <c r="K2" s="288"/>
      <c r="L2" s="288"/>
      <c r="M2" s="288"/>
      <c r="N2" s="288"/>
      <c r="O2" s="229">
        <f>SUM(F2:N2,D2)</f>
        <v>0</v>
      </c>
    </row>
    <row r="3" spans="1:15">
      <c r="A3" s="229" t="str">
        <f>IF(OR(K3&gt;0,S3&gt;0),基础信息!$B$1,"")</f>
        <v/>
      </c>
      <c r="B3" s="276"/>
      <c r="C3" s="276"/>
      <c r="D3" s="255"/>
      <c r="E3" s="229">
        <f t="shared" ref="E3:E18" si="0">SUM(F3:I3)</f>
        <v>0</v>
      </c>
      <c r="F3" s="288"/>
      <c r="G3" s="288"/>
      <c r="H3" s="288"/>
      <c r="I3" s="288"/>
      <c r="J3" s="288"/>
      <c r="K3" s="288"/>
      <c r="L3" s="288"/>
      <c r="M3" s="288"/>
      <c r="N3" s="288"/>
      <c r="O3" s="229">
        <f t="shared" ref="O3:O18" si="1">SUM(F3:N3,D3)</f>
        <v>0</v>
      </c>
    </row>
    <row r="4" spans="1:15">
      <c r="A4" s="229" t="str">
        <f>IF(OR(K4&gt;0,S4&gt;0),基础信息!$B$1,"")</f>
        <v/>
      </c>
      <c r="B4" s="276"/>
      <c r="C4" s="276"/>
      <c r="D4" s="255"/>
      <c r="E4" s="229">
        <f t="shared" si="0"/>
        <v>0</v>
      </c>
      <c r="F4" s="288"/>
      <c r="G4" s="288"/>
      <c r="H4" s="288"/>
      <c r="I4" s="288"/>
      <c r="J4" s="288"/>
      <c r="K4" s="288"/>
      <c r="L4" s="288"/>
      <c r="M4" s="288"/>
      <c r="N4" s="288"/>
      <c r="O4" s="229">
        <f t="shared" si="1"/>
        <v>0</v>
      </c>
    </row>
    <row r="5" spans="1:15">
      <c r="A5" s="229" t="str">
        <f>IF(OR(K5&gt;0,S5&gt;0),基础信息!$B$1,"")</f>
        <v/>
      </c>
      <c r="B5" s="276"/>
      <c r="C5" s="276"/>
      <c r="D5" s="255"/>
      <c r="E5" s="229">
        <f t="shared" si="0"/>
        <v>0</v>
      </c>
      <c r="F5" s="288"/>
      <c r="G5" s="288"/>
      <c r="H5" s="288"/>
      <c r="I5" s="288"/>
      <c r="J5" s="288"/>
      <c r="K5" s="288"/>
      <c r="L5" s="288"/>
      <c r="M5" s="288"/>
      <c r="N5" s="288"/>
      <c r="O5" s="229">
        <f t="shared" si="1"/>
        <v>0</v>
      </c>
    </row>
    <row r="6" spans="1:15">
      <c r="A6" s="229" t="str">
        <f>IF(OR(K6&gt;0,S6&gt;0),基础信息!$B$1,"")</f>
        <v/>
      </c>
      <c r="B6" s="276"/>
      <c r="C6" s="276"/>
      <c r="D6" s="255"/>
      <c r="E6" s="229">
        <f t="shared" si="0"/>
        <v>0</v>
      </c>
      <c r="F6" s="288"/>
      <c r="G6" s="288"/>
      <c r="H6" s="288"/>
      <c r="I6" s="288"/>
      <c r="J6" s="288"/>
      <c r="K6" s="288"/>
      <c r="L6" s="288"/>
      <c r="M6" s="288"/>
      <c r="N6" s="288"/>
      <c r="O6" s="229">
        <f t="shared" si="1"/>
        <v>0</v>
      </c>
    </row>
    <row r="7" spans="1:15">
      <c r="A7" s="229" t="str">
        <f>IF(OR(K7&gt;0,S7&gt;0),基础信息!$B$1,"")</f>
        <v/>
      </c>
      <c r="B7" s="276"/>
      <c r="C7" s="276"/>
      <c r="D7" s="255"/>
      <c r="E7" s="229">
        <f t="shared" si="0"/>
        <v>0</v>
      </c>
      <c r="F7" s="288"/>
      <c r="G7" s="288"/>
      <c r="H7" s="288"/>
      <c r="I7" s="288"/>
      <c r="J7" s="288"/>
      <c r="K7" s="288"/>
      <c r="L7" s="288"/>
      <c r="M7" s="288"/>
      <c r="N7" s="288"/>
      <c r="O7" s="229">
        <f t="shared" si="1"/>
        <v>0</v>
      </c>
    </row>
    <row r="8" spans="1:15">
      <c r="A8" s="229" t="str">
        <f>IF(OR(K8&gt;0,S8&gt;0),基础信息!$B$1,"")</f>
        <v/>
      </c>
      <c r="B8" s="276"/>
      <c r="C8" s="276"/>
      <c r="D8" s="255"/>
      <c r="E8" s="229">
        <f t="shared" si="0"/>
        <v>0</v>
      </c>
      <c r="F8" s="288"/>
      <c r="G8" s="288"/>
      <c r="H8" s="288"/>
      <c r="I8" s="288"/>
      <c r="J8" s="288"/>
      <c r="K8" s="288"/>
      <c r="L8" s="288"/>
      <c r="M8" s="288"/>
      <c r="N8" s="288"/>
      <c r="O8" s="229">
        <f t="shared" si="1"/>
        <v>0</v>
      </c>
    </row>
    <row r="9" spans="1:15">
      <c r="A9" s="229" t="str">
        <f>IF(OR(K9&gt;0,S9&gt;0),基础信息!$B$1,"")</f>
        <v/>
      </c>
      <c r="B9" s="276"/>
      <c r="C9" s="276"/>
      <c r="D9" s="255"/>
      <c r="E9" s="229">
        <f t="shared" si="0"/>
        <v>0</v>
      </c>
      <c r="F9" s="288"/>
      <c r="G9" s="288"/>
      <c r="H9" s="288"/>
      <c r="I9" s="288"/>
      <c r="J9" s="288"/>
      <c r="K9" s="288"/>
      <c r="L9" s="288"/>
      <c r="M9" s="288"/>
      <c r="N9" s="288"/>
      <c r="O9" s="229">
        <f t="shared" si="1"/>
        <v>0</v>
      </c>
    </row>
    <row r="10" spans="1:15">
      <c r="A10" s="229" t="str">
        <f>IF(OR(K10&gt;0,S10&gt;0),基础信息!$B$1,"")</f>
        <v/>
      </c>
      <c r="B10" s="276"/>
      <c r="C10" s="276"/>
      <c r="D10" s="255"/>
      <c r="E10" s="229">
        <f t="shared" si="0"/>
        <v>0</v>
      </c>
      <c r="F10" s="288"/>
      <c r="G10" s="288"/>
      <c r="H10" s="288"/>
      <c r="I10" s="288"/>
      <c r="J10" s="288"/>
      <c r="K10" s="288"/>
      <c r="L10" s="288"/>
      <c r="M10" s="288"/>
      <c r="N10" s="288"/>
      <c r="O10" s="229">
        <f t="shared" si="1"/>
        <v>0</v>
      </c>
    </row>
    <row r="11" spans="1:15">
      <c r="A11" s="229" t="str">
        <f>IF(OR(K11&gt;0,S11&gt;0),基础信息!$B$1,"")</f>
        <v/>
      </c>
      <c r="B11" s="276"/>
      <c r="C11" s="276"/>
      <c r="D11" s="255"/>
      <c r="E11" s="229">
        <f t="shared" si="0"/>
        <v>0</v>
      </c>
      <c r="F11" s="288"/>
      <c r="G11" s="288"/>
      <c r="H11" s="288"/>
      <c r="I11" s="288"/>
      <c r="J11" s="288"/>
      <c r="K11" s="288"/>
      <c r="L11" s="288"/>
      <c r="M11" s="288"/>
      <c r="N11" s="288"/>
      <c r="O11" s="229">
        <f t="shared" si="1"/>
        <v>0</v>
      </c>
    </row>
    <row r="12" spans="1:15">
      <c r="A12" s="229" t="str">
        <f>IF(OR(K12&gt;0,S12&gt;0),基础信息!$B$1,"")</f>
        <v/>
      </c>
      <c r="B12" s="276"/>
      <c r="C12" s="276"/>
      <c r="D12" s="255"/>
      <c r="E12" s="229">
        <f t="shared" si="0"/>
        <v>0</v>
      </c>
      <c r="F12" s="288"/>
      <c r="G12" s="288"/>
      <c r="H12" s="288"/>
      <c r="I12" s="288"/>
      <c r="J12" s="288"/>
      <c r="K12" s="288"/>
      <c r="L12" s="288"/>
      <c r="M12" s="288"/>
      <c r="N12" s="288"/>
      <c r="O12" s="229">
        <f t="shared" si="1"/>
        <v>0</v>
      </c>
    </row>
    <row r="13" spans="1:15">
      <c r="A13" s="229" t="str">
        <f>IF(OR(K13&gt;0,S13&gt;0),基础信息!$B$1,"")</f>
        <v/>
      </c>
      <c r="B13" s="276"/>
      <c r="C13" s="276"/>
      <c r="D13" s="255"/>
      <c r="E13" s="229">
        <f t="shared" si="0"/>
        <v>0</v>
      </c>
      <c r="F13" s="288"/>
      <c r="G13" s="288"/>
      <c r="H13" s="288"/>
      <c r="I13" s="288"/>
      <c r="J13" s="288"/>
      <c r="K13" s="288"/>
      <c r="L13" s="288"/>
      <c r="M13" s="288"/>
      <c r="N13" s="288"/>
      <c r="O13" s="229">
        <f t="shared" si="1"/>
        <v>0</v>
      </c>
    </row>
    <row r="14" spans="1:15">
      <c r="A14" s="229" t="str">
        <f>IF(OR(K14&gt;0,S14&gt;0),基础信息!$B$1,"")</f>
        <v/>
      </c>
      <c r="B14" s="276"/>
      <c r="C14" s="276"/>
      <c r="D14" s="255"/>
      <c r="E14" s="229">
        <f t="shared" si="0"/>
        <v>0</v>
      </c>
      <c r="F14" s="288"/>
      <c r="G14" s="288"/>
      <c r="H14" s="288"/>
      <c r="I14" s="288"/>
      <c r="J14" s="288"/>
      <c r="K14" s="288"/>
      <c r="L14" s="288"/>
      <c r="M14" s="288"/>
      <c r="N14" s="288"/>
      <c r="O14" s="229">
        <f t="shared" si="1"/>
        <v>0</v>
      </c>
    </row>
    <row r="15" spans="1:15">
      <c r="A15" s="229" t="str">
        <f>IF(OR(K15&gt;0,S15&gt;0),基础信息!$B$1,"")</f>
        <v/>
      </c>
      <c r="B15" s="276"/>
      <c r="C15" s="276"/>
      <c r="D15" s="255"/>
      <c r="E15" s="229">
        <f t="shared" si="0"/>
        <v>0</v>
      </c>
      <c r="F15" s="288"/>
      <c r="G15" s="288"/>
      <c r="H15" s="288"/>
      <c r="I15" s="288"/>
      <c r="J15" s="288"/>
      <c r="K15" s="288"/>
      <c r="L15" s="288"/>
      <c r="M15" s="288"/>
      <c r="N15" s="288"/>
      <c r="O15" s="229">
        <f t="shared" si="1"/>
        <v>0</v>
      </c>
    </row>
    <row r="16" spans="1:15">
      <c r="A16" s="229" t="str">
        <f>IF(OR(K16&gt;0,S16&gt;0),基础信息!$B$1,"")</f>
        <v/>
      </c>
      <c r="B16" s="276"/>
      <c r="C16" s="276"/>
      <c r="D16" s="255"/>
      <c r="E16" s="229">
        <f t="shared" si="0"/>
        <v>0</v>
      </c>
      <c r="F16" s="288"/>
      <c r="G16" s="288"/>
      <c r="H16" s="288"/>
      <c r="I16" s="288"/>
      <c r="J16" s="288"/>
      <c r="K16" s="288"/>
      <c r="L16" s="288"/>
      <c r="M16" s="288"/>
      <c r="N16" s="288"/>
      <c r="O16" s="229">
        <f t="shared" si="1"/>
        <v>0</v>
      </c>
    </row>
    <row r="17" spans="1:15">
      <c r="A17" s="229" t="str">
        <f>IF(OR(K17&gt;0,S17&gt;0),基础信息!$B$1,"")</f>
        <v/>
      </c>
      <c r="B17" s="276"/>
      <c r="C17" s="276"/>
      <c r="D17" s="255"/>
      <c r="E17" s="229">
        <f t="shared" si="0"/>
        <v>0</v>
      </c>
      <c r="F17" s="288"/>
      <c r="G17" s="288"/>
      <c r="H17" s="288"/>
      <c r="I17" s="288"/>
      <c r="J17" s="288"/>
      <c r="K17" s="288"/>
      <c r="L17" s="288"/>
      <c r="M17" s="288"/>
      <c r="N17" s="288"/>
      <c r="O17" s="229">
        <f t="shared" si="1"/>
        <v>0</v>
      </c>
    </row>
    <row r="18" spans="1:15">
      <c r="A18" s="229" t="str">
        <f>IF(OR(K18&gt;0,S18&gt;0),基础信息!$B$1,"")</f>
        <v/>
      </c>
      <c r="B18" s="276"/>
      <c r="C18" s="276"/>
      <c r="D18" s="255"/>
      <c r="E18" s="229">
        <f t="shared" si="0"/>
        <v>0</v>
      </c>
      <c r="F18" s="288"/>
      <c r="G18" s="288"/>
      <c r="H18" s="288"/>
      <c r="I18" s="288"/>
      <c r="J18" s="288"/>
      <c r="K18" s="288"/>
      <c r="L18" s="288"/>
      <c r="M18" s="288"/>
      <c r="N18" s="288"/>
      <c r="O18"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3315D55-6CD5-472C-859B-3688060F5D53}">
          <x14:formula1>
            <xm:f>分类表!$93:$93</xm:f>
          </x14:formula1>
          <xm:sqref>B2:B18</xm:sqref>
        </x14:dataValidation>
        <x14:dataValidation type="list" allowBlank="1" showInputMessage="1" showErrorMessage="1" xr:uid="{C2288475-68FC-4208-8D36-3D3E47E4C013}">
          <x14:formula1>
            <xm:f>分类表!$94:$94</xm:f>
          </x14:formula1>
          <xm:sqref>C2:C18</xm:sqref>
        </x14:dataValidation>
      </x14:dataValidations>
    </ext>
  </extLst>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codeName="Sheet159">
    <tabColor rgb="FFFFC000"/>
  </sheetPr>
  <dimension ref="A1:E5"/>
  <sheetViews>
    <sheetView workbookViewId="0">
      <selection activeCell="J17" sqref="J17"/>
    </sheetView>
  </sheetViews>
  <sheetFormatPr defaultRowHeight="13.8"/>
  <cols>
    <col min="1" max="16384" width="8.88671875" style="18"/>
  </cols>
  <sheetData>
    <row r="1" spans="1:5" ht="14.4">
      <c r="A1" s="20" t="s">
        <v>28</v>
      </c>
      <c r="B1" s="20" t="s">
        <v>369</v>
      </c>
      <c r="C1" s="19" t="s">
        <v>370</v>
      </c>
      <c r="D1" s="19" t="s">
        <v>371</v>
      </c>
      <c r="E1" s="20" t="s">
        <v>372</v>
      </c>
    </row>
    <row r="2" spans="1:5" ht="14.4">
      <c r="A2" s="268"/>
      <c r="B2" s="280"/>
      <c r="C2" s="280"/>
      <c r="D2" s="280"/>
      <c r="E2" s="281"/>
    </row>
    <row r="3" spans="1:5" ht="14.4">
      <c r="A3" s="268"/>
      <c r="B3" s="280"/>
      <c r="C3" s="280"/>
      <c r="D3" s="280"/>
      <c r="E3" s="281"/>
    </row>
    <row r="4" spans="1:5" ht="14.4">
      <c r="A4" s="268"/>
      <c r="B4" s="280"/>
      <c r="C4" s="280"/>
      <c r="D4" s="280"/>
      <c r="E4" s="281"/>
    </row>
    <row r="5" spans="1:5" ht="14.4">
      <c r="A5" s="18" t="s">
        <v>204</v>
      </c>
      <c r="B5" s="21">
        <f>ROUND(SUM(B2:B4),2)</f>
        <v>0</v>
      </c>
      <c r="C5" s="21">
        <f>ROUND(SUM(C2:C4),2)</f>
        <v>0</v>
      </c>
      <c r="D5" s="21">
        <f>ROUND(SUM(D2:D4),2)</f>
        <v>0</v>
      </c>
      <c r="E5" s="21">
        <f>ROUND(SUM(E2:E4),2)</f>
        <v>0</v>
      </c>
    </row>
  </sheetData>
  <phoneticPr fontId="1" type="noConversion"/>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codeName="Sheet160">
    <tabColor rgb="FFFFC000"/>
  </sheetPr>
  <dimension ref="A1:G7"/>
  <sheetViews>
    <sheetView workbookViewId="0">
      <selection activeCell="E15" sqref="E15"/>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245</v>
      </c>
      <c r="C1" s="40" t="s">
        <v>271</v>
      </c>
      <c r="D1" s="40" t="s">
        <v>318</v>
      </c>
      <c r="E1" s="40" t="s">
        <v>246</v>
      </c>
      <c r="F1" s="40" t="s">
        <v>274</v>
      </c>
      <c r="G1" s="40" t="s">
        <v>320</v>
      </c>
    </row>
    <row r="2" spans="1:7" ht="14.4">
      <c r="A2" s="34" t="s">
        <v>373</v>
      </c>
      <c r="B2" s="289">
        <f>ROUND(SUM(可供出售债务工具明细表!N:N),2)</f>
        <v>0</v>
      </c>
      <c r="C2" s="296"/>
      <c r="D2" s="151">
        <f>ROUND(B2-C2,2)</f>
        <v>0</v>
      </c>
      <c r="E2" s="264"/>
      <c r="F2" s="278"/>
      <c r="G2" s="151">
        <f>ROUND(E2-F2,2)</f>
        <v>0</v>
      </c>
    </row>
    <row r="3" spans="1:7" ht="14.4">
      <c r="A3" s="34" t="s">
        <v>374</v>
      </c>
      <c r="B3" s="156">
        <f>ROUND(SUM(B4:B5),2)</f>
        <v>0</v>
      </c>
      <c r="C3" s="156">
        <f>ROUND(SUM(C4:C5),2)</f>
        <v>0</v>
      </c>
      <c r="D3" s="151">
        <f>ROUND(B3-C3,2)</f>
        <v>0</v>
      </c>
      <c r="E3" s="156">
        <f>ROUND(SUM(E4:E5),2)</f>
        <v>0</v>
      </c>
      <c r="F3" s="156">
        <f>ROUND(SUM(F4:F5),2)</f>
        <v>0</v>
      </c>
      <c r="G3" s="151">
        <f>ROUND(E3-F3,2)</f>
        <v>0</v>
      </c>
    </row>
    <row r="4" spans="1:7" ht="14.4">
      <c r="A4" s="34" t="s">
        <v>375</v>
      </c>
      <c r="B4" s="289">
        <f>ROUND(SUMIF(可供出售权益工具明细表!C:C,"公允价值法",可供出售权益工具明细表!M:M),2)</f>
        <v>0</v>
      </c>
      <c r="C4" s="296">
        <f>ROUND(SUMIF(可供出售权益工具明细表!C:C,"公允价值法",可供出售权益工具明细表!S:S),2)</f>
        <v>0</v>
      </c>
      <c r="D4" s="151">
        <f>ROUND(B4-C4,2)</f>
        <v>0</v>
      </c>
      <c r="E4" s="264"/>
      <c r="F4" s="278"/>
      <c r="G4" s="151">
        <f>ROUND(E4-F4,2)</f>
        <v>0</v>
      </c>
    </row>
    <row r="5" spans="1:7">
      <c r="A5" s="43" t="s">
        <v>3333</v>
      </c>
      <c r="B5" s="289">
        <f>ROUND(SUMIF(可供出售权益工具明细表!C:C,"成本法",可供出售权益工具明细表!M:M),2)</f>
        <v>0</v>
      </c>
      <c r="C5" s="296">
        <f>ROUND(SUMIF(可供出售权益工具明细表!C:C,"公允价值法",可供出售权益工具明细表!S:S),2)</f>
        <v>0</v>
      </c>
      <c r="D5" s="151">
        <f>ROUND(B5-C5,2)</f>
        <v>0</v>
      </c>
      <c r="E5" s="264"/>
      <c r="F5" s="278"/>
      <c r="G5" s="151">
        <f>ROUND(E5-F5,2)</f>
        <v>0</v>
      </c>
    </row>
    <row r="6" spans="1:7" ht="14.4">
      <c r="A6" s="34" t="s">
        <v>202</v>
      </c>
      <c r="B6" s="289"/>
      <c r="C6" s="296"/>
      <c r="D6" s="151">
        <f>ROUND(B6-C6,2)</f>
        <v>0</v>
      </c>
      <c r="E6" s="264"/>
      <c r="F6" s="278"/>
      <c r="G6" s="151">
        <f>ROUND(E6-F6,2)</f>
        <v>0</v>
      </c>
    </row>
    <row r="7" spans="1:7" ht="14.4">
      <c r="A7" s="35" t="s">
        <v>204</v>
      </c>
      <c r="B7" s="156">
        <f t="shared" ref="B7:G7" si="0">ROUND(SUM(B6,B3,B2),2)</f>
        <v>0</v>
      </c>
      <c r="C7" s="156">
        <f t="shared" si="0"/>
        <v>0</v>
      </c>
      <c r="D7" s="156">
        <f t="shared" si="0"/>
        <v>0</v>
      </c>
      <c r="E7" s="156">
        <f t="shared" si="0"/>
        <v>0</v>
      </c>
      <c r="F7" s="156">
        <f t="shared" si="0"/>
        <v>0</v>
      </c>
      <c r="G7" s="156">
        <f t="shared" si="0"/>
        <v>0</v>
      </c>
    </row>
  </sheetData>
  <phoneticPr fontId="1"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codeName="Sheet161">
    <tabColor rgb="FFFFC000"/>
  </sheetPr>
  <dimension ref="A1:E5"/>
  <sheetViews>
    <sheetView workbookViewId="0">
      <selection activeCell="C14" sqref="C14:C15"/>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28</v>
      </c>
      <c r="B1" s="20" t="s">
        <v>379</v>
      </c>
      <c r="C1" s="20" t="s">
        <v>380</v>
      </c>
      <c r="D1" s="59" t="s">
        <v>202</v>
      </c>
      <c r="E1" s="32" t="s">
        <v>204</v>
      </c>
    </row>
    <row r="2" spans="1:5" ht="14.4">
      <c r="A2" s="44" t="s">
        <v>376</v>
      </c>
      <c r="B2" s="157">
        <f>ROUND(SUMIF(可供出售权益工具明细表!C:C,"公允价值法",可供出售权益工具明细表!E:E),2)</f>
        <v>0</v>
      </c>
      <c r="C2" s="157">
        <f>ROUND(SUM(可供出售债务工具明细表!F:F),2)</f>
        <v>0</v>
      </c>
      <c r="D2" s="54"/>
      <c r="E2" s="157">
        <f>ROUND(SUM(B2:D2),2)</f>
        <v>0</v>
      </c>
    </row>
    <row r="3" spans="1:5" ht="14.4">
      <c r="A3" s="44" t="s">
        <v>354</v>
      </c>
      <c r="B3" s="157">
        <f>ROUND(SUM(可供出售权益工具明细表!L:L),2)</f>
        <v>0</v>
      </c>
      <c r="C3" s="157">
        <f>ROUND(SUM(可供出售债务工具明细表!M:M),2)</f>
        <v>0</v>
      </c>
      <c r="D3" s="54"/>
      <c r="E3" s="157">
        <f>ROUND(SUM(B3:D3),2)</f>
        <v>0</v>
      </c>
    </row>
    <row r="4" spans="1:5" ht="14.4">
      <c r="A4" s="44" t="s">
        <v>377</v>
      </c>
      <c r="B4" s="157">
        <f>ROUND(SUMIF(可供出售权益工具明细表!C:C,"公允价值法",可供出售权益工具明细表!N:N),2)</f>
        <v>0</v>
      </c>
      <c r="C4" s="54"/>
      <c r="D4" s="54"/>
      <c r="E4" s="157">
        <f>ROUND(SUM(B4:D4),2)</f>
        <v>0</v>
      </c>
    </row>
    <row r="5" spans="1:5" ht="14.4">
      <c r="A5" s="44" t="s">
        <v>378</v>
      </c>
      <c r="B5" s="157">
        <f>ROUND(SUMIF(可供出售权益工具明细表!C:C,"公允价值法",可供出售权益工具明细表!S:S),2)</f>
        <v>0</v>
      </c>
      <c r="C5" s="54"/>
      <c r="D5" s="54"/>
      <c r="E5" s="157">
        <f>ROUND(SUM(B5:D5),2)</f>
        <v>0</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codeName="Sheet162">
    <tabColor rgb="FFFFC000"/>
  </sheetPr>
  <dimension ref="A1:G5"/>
  <sheetViews>
    <sheetView workbookViewId="0">
      <selection activeCell="F11" sqref="F11"/>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386</v>
      </c>
      <c r="B1" s="32" t="s">
        <v>3351</v>
      </c>
      <c r="C1" s="32" t="s">
        <v>382</v>
      </c>
      <c r="D1" s="32" t="s">
        <v>383</v>
      </c>
      <c r="E1" s="32" t="s">
        <v>384</v>
      </c>
      <c r="F1" s="40" t="s">
        <v>378</v>
      </c>
      <c r="G1" s="40" t="s">
        <v>385</v>
      </c>
    </row>
    <row r="2" spans="1:7" ht="14.4">
      <c r="A2" s="303"/>
      <c r="B2" s="306"/>
      <c r="C2" s="306"/>
      <c r="D2" s="306"/>
      <c r="E2" s="306"/>
      <c r="F2" s="291"/>
      <c r="G2" s="291"/>
    </row>
    <row r="3" spans="1:7">
      <c r="A3" s="307"/>
      <c r="B3" s="275"/>
      <c r="C3" s="275"/>
      <c r="D3" s="275"/>
      <c r="E3" s="275"/>
      <c r="F3" s="274"/>
      <c r="G3" s="274"/>
    </row>
    <row r="4" spans="1:7">
      <c r="A4" s="307"/>
      <c r="B4" s="275"/>
      <c r="C4" s="275"/>
      <c r="D4" s="275"/>
      <c r="E4" s="275"/>
      <c r="F4" s="274"/>
      <c r="G4" s="274"/>
    </row>
    <row r="5" spans="1:7" ht="14.4">
      <c r="A5" s="35" t="s">
        <v>204</v>
      </c>
      <c r="B5" s="50">
        <f>ROUND(SUM(B2:B4),2)</f>
        <v>0</v>
      </c>
      <c r="C5" s="50">
        <f>ROUND(SUM(C2:C4),2)</f>
        <v>0</v>
      </c>
      <c r="D5" s="50"/>
      <c r="E5" s="54" t="s">
        <v>235</v>
      </c>
      <c r="F5" s="39"/>
      <c r="G5" s="41" t="s">
        <v>235</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sheetPr codeName="Sheet14"/>
  <dimension ref="A1:D73"/>
  <sheetViews>
    <sheetView workbookViewId="0">
      <pane xSplit="1" ySplit="1" topLeftCell="B2" activePane="bottomRight" state="frozen"/>
      <selection pane="topRight" activeCell="B1" sqref="B1"/>
      <selection pane="bottomLeft" activeCell="A2" sqref="A2"/>
      <selection pane="bottomRight" activeCell="G24" sqref="G24"/>
    </sheetView>
  </sheetViews>
  <sheetFormatPr defaultRowHeight="13.8"/>
  <cols>
    <col min="1" max="1" width="53.33203125" style="18" bestFit="1" customWidth="1"/>
    <col min="2" max="3" width="17.109375" style="18" bestFit="1" customWidth="1"/>
    <col min="4" max="16384" width="8.88671875" style="18"/>
  </cols>
  <sheetData>
    <row r="1" spans="1:3">
      <c r="A1" s="5" t="s">
        <v>1292</v>
      </c>
      <c r="B1" s="5" t="s">
        <v>1409</v>
      </c>
      <c r="C1" s="6" t="s">
        <v>1410</v>
      </c>
    </row>
    <row r="2" spans="1:3">
      <c r="A2" s="7" t="s">
        <v>1411</v>
      </c>
      <c r="B2" s="8">
        <f>ROUND(SUM(B3:B6),2)</f>
        <v>0</v>
      </c>
      <c r="C2" s="8">
        <f>ROUND(SUM(C3:C6),2)</f>
        <v>0</v>
      </c>
    </row>
    <row r="3" spans="1:3">
      <c r="A3" s="9" t="s">
        <v>3121</v>
      </c>
      <c r="B3" s="10">
        <f>ROUND(本期TB!H171,2)</f>
        <v>0</v>
      </c>
      <c r="C3" s="10">
        <f>ROUND(上期TB!H171,2)</f>
        <v>0</v>
      </c>
    </row>
    <row r="4" spans="1:3">
      <c r="A4" s="11" t="s">
        <v>1413</v>
      </c>
      <c r="B4" s="10">
        <f>ROUND(本期TB!H174,2)</f>
        <v>0</v>
      </c>
      <c r="C4" s="10">
        <f>ROUND(上期TB!H174,2)</f>
        <v>0</v>
      </c>
    </row>
    <row r="5" spans="1:3">
      <c r="A5" s="11" t="s">
        <v>1414</v>
      </c>
      <c r="B5" s="10">
        <f>ROUND(本期TB!H175,2)</f>
        <v>0</v>
      </c>
      <c r="C5" s="10">
        <f>ROUND(上期TB!H175,2)</f>
        <v>0</v>
      </c>
    </row>
    <row r="6" spans="1:3">
      <c r="A6" s="11" t="s">
        <v>1415</v>
      </c>
      <c r="B6" s="10">
        <f>ROUND(本期TB!H176,2)</f>
        <v>0</v>
      </c>
      <c r="C6" s="10">
        <f>ROUND(上期TB!H176,2)</f>
        <v>0</v>
      </c>
    </row>
    <row r="7" spans="1:3">
      <c r="A7" s="7" t="s">
        <v>1416</v>
      </c>
      <c r="B7" s="8">
        <f>ROUND(SUM(B8:B18,B20:B21,B25),2)</f>
        <v>0</v>
      </c>
      <c r="C7" s="8">
        <f>ROUND(SUM(C8:C18,C20:C21,C25),2)</f>
        <v>0</v>
      </c>
    </row>
    <row r="8" spans="1:3">
      <c r="A8" s="9" t="s">
        <v>3122</v>
      </c>
      <c r="B8" s="10">
        <f>ROUND(本期TB!H178,2)</f>
        <v>0</v>
      </c>
      <c r="C8" s="10">
        <f>ROUND(上期TB!H178,2)</f>
        <v>0</v>
      </c>
    </row>
    <row r="9" spans="1:3">
      <c r="A9" s="11" t="s">
        <v>1418</v>
      </c>
      <c r="B9" s="10">
        <f>ROUND(本期TB!H181,2)</f>
        <v>0</v>
      </c>
      <c r="C9" s="10">
        <f>ROUND(上期TB!H181,2)</f>
        <v>0</v>
      </c>
    </row>
    <row r="10" spans="1:3">
      <c r="A10" s="11" t="s">
        <v>1419</v>
      </c>
      <c r="B10" s="10">
        <f>ROUND(本期TB!H182,2)</f>
        <v>0</v>
      </c>
      <c r="C10" s="10">
        <f>ROUND(上期TB!H182,2)</f>
        <v>0</v>
      </c>
    </row>
    <row r="11" spans="1:3">
      <c r="A11" s="11" t="s">
        <v>1420</v>
      </c>
      <c r="B11" s="10">
        <f>ROUND(本期TB!H183,2)</f>
        <v>0</v>
      </c>
      <c r="C11" s="10">
        <f>ROUND(上期TB!H183,2)</f>
        <v>0</v>
      </c>
    </row>
    <row r="12" spans="1:3">
      <c r="A12" s="11" t="s">
        <v>1421</v>
      </c>
      <c r="B12" s="10">
        <f>ROUND(本期TB!H184,2)</f>
        <v>0</v>
      </c>
      <c r="C12" s="10">
        <f>ROUND(上期TB!H184,2)</f>
        <v>0</v>
      </c>
    </row>
    <row r="13" spans="1:3">
      <c r="A13" s="11" t="s">
        <v>1422</v>
      </c>
      <c r="B13" s="10">
        <f>ROUND(本期TB!H185,2)</f>
        <v>0</v>
      </c>
      <c r="C13" s="10">
        <f>ROUND(上期TB!H185,2)</f>
        <v>0</v>
      </c>
    </row>
    <row r="14" spans="1:3">
      <c r="A14" s="11" t="s">
        <v>1423</v>
      </c>
      <c r="B14" s="10">
        <f>ROUND(本期TB!H186,2)</f>
        <v>0</v>
      </c>
      <c r="C14" s="10">
        <f>ROUND(上期TB!H186,2)</f>
        <v>0</v>
      </c>
    </row>
    <row r="15" spans="1:3">
      <c r="A15" s="11" t="s">
        <v>1424</v>
      </c>
      <c r="B15" s="10">
        <f>ROUND(本期TB!H187,2)</f>
        <v>0</v>
      </c>
      <c r="C15" s="10">
        <f>ROUND(上期TB!H187,2)</f>
        <v>0</v>
      </c>
    </row>
    <row r="16" spans="1:3">
      <c r="A16" s="11" t="s">
        <v>1425</v>
      </c>
      <c r="B16" s="10">
        <f>ROUND(本期TB!H188,2)</f>
        <v>0</v>
      </c>
      <c r="C16" s="10">
        <f>ROUND(上期TB!H188,2)</f>
        <v>0</v>
      </c>
    </row>
    <row r="17" spans="1:3">
      <c r="A17" s="11" t="s">
        <v>1426</v>
      </c>
      <c r="B17" s="10">
        <f>ROUND(本期TB!H189,2)</f>
        <v>0</v>
      </c>
      <c r="C17" s="10">
        <f>ROUND(上期TB!H189,2)</f>
        <v>0</v>
      </c>
    </row>
    <row r="18" spans="1:3">
      <c r="A18" s="11" t="s">
        <v>1427</v>
      </c>
      <c r="B18" s="10">
        <f>ROUND(本期TB!H190,2)</f>
        <v>0</v>
      </c>
      <c r="C18" s="10">
        <f>ROUND(上期TB!H190,2)</f>
        <v>0</v>
      </c>
    </row>
    <row r="19" spans="1:3">
      <c r="A19" s="11" t="s">
        <v>1917</v>
      </c>
      <c r="B19" s="12"/>
      <c r="C19" s="12"/>
    </row>
    <row r="20" spans="1:3">
      <c r="A20" s="11" t="s">
        <v>1429</v>
      </c>
      <c r="B20" s="10">
        <f>ROUND(本期TB!H191,2)</f>
        <v>0</v>
      </c>
      <c r="C20" s="10">
        <f>ROUND(上期TB!H191,2)</f>
        <v>0</v>
      </c>
    </row>
    <row r="21" spans="1:3">
      <c r="A21" s="11" t="s">
        <v>1430</v>
      </c>
      <c r="B21" s="10">
        <f>ROUND(本期TB!H192,2)</f>
        <v>0</v>
      </c>
      <c r="C21" s="10">
        <f>ROUND(上期TB!H192,2)</f>
        <v>0</v>
      </c>
    </row>
    <row r="22" spans="1:3">
      <c r="A22" s="11" t="s">
        <v>1431</v>
      </c>
      <c r="B22" s="10">
        <f>ROUND(财务费用!B5,2)</f>
        <v>0</v>
      </c>
      <c r="C22" s="10">
        <f>ROUND(财务费用!C5,2)</f>
        <v>0</v>
      </c>
    </row>
    <row r="23" spans="1:3">
      <c r="A23" s="11" t="s">
        <v>1432</v>
      </c>
      <c r="B23" s="10">
        <f>ROUND(财务费用!B7,2)</f>
        <v>0</v>
      </c>
      <c r="C23" s="10">
        <f>ROUND(财务费用!C7,2)</f>
        <v>0</v>
      </c>
    </row>
    <row r="24" spans="1:3">
      <c r="A24" s="11" t="s">
        <v>1433</v>
      </c>
      <c r="B24" s="10">
        <f>ROUND(财务费用!B8,2)</f>
        <v>0</v>
      </c>
      <c r="C24" s="10">
        <f>ROUND(财务费用!C8,2)</f>
        <v>0</v>
      </c>
    </row>
    <row r="25" spans="1:3">
      <c r="A25" s="11" t="s">
        <v>1434</v>
      </c>
      <c r="B25" s="10"/>
      <c r="C25" s="10"/>
    </row>
    <row r="26" spans="1:3">
      <c r="A26" s="11" t="s">
        <v>1435</v>
      </c>
      <c r="B26" s="10">
        <f>ROUND(本期TB!H193,2)</f>
        <v>0</v>
      </c>
      <c r="C26" s="10">
        <f>ROUND(上期TB!H193,2)</f>
        <v>0</v>
      </c>
    </row>
    <row r="27" spans="1:3">
      <c r="A27" s="11" t="s">
        <v>1436</v>
      </c>
      <c r="B27" s="10">
        <f>ROUND(本期TB!H194,2)</f>
        <v>0</v>
      </c>
      <c r="C27" s="10">
        <f>ROUND(上期TB!H194,2)</f>
        <v>0</v>
      </c>
    </row>
    <row r="28" spans="1:3">
      <c r="A28" s="11" t="s">
        <v>1437</v>
      </c>
      <c r="B28" s="10">
        <f>ROUND(IFERROR(VLOOKUP("权益法核算的长期股权投资收益",投资收益!A:B,2,0),0),2)</f>
        <v>0</v>
      </c>
      <c r="C28" s="10">
        <f>ROUND(IFERROR(VLOOKUP("权益法核算的长期股权投资收益",投资收益!A:C,3,0),0),2)</f>
        <v>0</v>
      </c>
    </row>
    <row r="29" spans="1:3">
      <c r="A29" s="11" t="s">
        <v>1438</v>
      </c>
      <c r="B29" s="10">
        <f>ROUND(IFERROR(VLOOKUP("处置债权投资取得的投资收益",投资收益!A:B,2,0),0),2)</f>
        <v>0</v>
      </c>
      <c r="C29" s="10">
        <f>ROUND(IFERROR(VLOOKUP("处置债权投资取得的投资收益",投资收益!A:C,3,0),0),2)</f>
        <v>0</v>
      </c>
    </row>
    <row r="30" spans="1:3">
      <c r="A30" s="11" t="s">
        <v>1439</v>
      </c>
      <c r="B30" s="10">
        <f>ROUND(本期TB!H202,2)</f>
        <v>0</v>
      </c>
      <c r="C30" s="10">
        <f>ROUND(上期TB!H202,2)</f>
        <v>0</v>
      </c>
    </row>
    <row r="31" spans="1:3">
      <c r="A31" s="11" t="s">
        <v>1440</v>
      </c>
      <c r="B31" s="10">
        <f>ROUND(本期TB!H197,2)</f>
        <v>0</v>
      </c>
      <c r="C31" s="10">
        <f>ROUND(上期TB!H197,2)</f>
        <v>0</v>
      </c>
    </row>
    <row r="32" spans="1:3">
      <c r="A32" s="11" t="s">
        <v>1441</v>
      </c>
      <c r="B32" s="10">
        <f>ROUND(本期TB!H198,2)</f>
        <v>0</v>
      </c>
      <c r="C32" s="10">
        <f>ROUND(上期TB!H198,2)</f>
        <v>0</v>
      </c>
    </row>
    <row r="33" spans="1:3">
      <c r="A33" s="11" t="s">
        <v>1442</v>
      </c>
      <c r="B33" s="10">
        <f>ROUND(本期TB!H199,2)</f>
        <v>0</v>
      </c>
      <c r="C33" s="10">
        <f>ROUND(上期TB!H199,2)</f>
        <v>0</v>
      </c>
    </row>
    <row r="34" spans="1:3">
      <c r="A34" s="11" t="s">
        <v>1443</v>
      </c>
      <c r="B34" s="10">
        <f>ROUND(本期TB!H200,2)</f>
        <v>0</v>
      </c>
      <c r="C34" s="10">
        <f>ROUND(上期TB!H200,2)</f>
        <v>0</v>
      </c>
    </row>
    <row r="35" spans="1:3">
      <c r="A35" s="11" t="s">
        <v>1444</v>
      </c>
      <c r="B35" s="10">
        <f>ROUND(本期TB!H201,2)</f>
        <v>0</v>
      </c>
      <c r="C35" s="10">
        <f>ROUND(上期TB!H201,2)</f>
        <v>0</v>
      </c>
    </row>
    <row r="36" spans="1:3">
      <c r="A36" s="11" t="s">
        <v>3131</v>
      </c>
      <c r="B36" s="8">
        <f>ROUND(B2-B7+B26+B27+B30+B31+B32+B33+B34+B35,2)</f>
        <v>0</v>
      </c>
      <c r="C36" s="8">
        <f>ROUND(C2-C7+C26+C27+C30+C31+C32+C33+C34+C35,2)</f>
        <v>0</v>
      </c>
    </row>
    <row r="37" spans="1:3">
      <c r="A37" s="11" t="s">
        <v>1446</v>
      </c>
      <c r="B37" s="10">
        <f>ROUND(本期TB!H204,2)</f>
        <v>0</v>
      </c>
      <c r="C37" s="10">
        <f>ROUND(上期TB!H204,2)</f>
        <v>0</v>
      </c>
    </row>
    <row r="38" spans="1:3">
      <c r="A38" s="11" t="s">
        <v>1447</v>
      </c>
      <c r="B38" s="10">
        <f ca="1">ROUND(IFERROR(vlooup("与企业日常活动无关的政府补助",营业外收入!A:C,2,0),0),2)</f>
        <v>0</v>
      </c>
      <c r="C38" s="10">
        <f ca="1">ROUND(IFERROR(vlooup("与企业日常活动无关的政府补助",营业外收入!A:C,2,0),0),2)</f>
        <v>0</v>
      </c>
    </row>
    <row r="39" spans="1:3">
      <c r="A39" s="11" t="s">
        <v>1448</v>
      </c>
      <c r="B39" s="10">
        <f>ROUND(本期TB!H205,2)</f>
        <v>0</v>
      </c>
      <c r="C39" s="10">
        <f>ROUND(上期TB!H205,2)</f>
        <v>0</v>
      </c>
    </row>
    <row r="40" spans="1:3">
      <c r="A40" s="11" t="s">
        <v>3132</v>
      </c>
      <c r="B40" s="8">
        <f>ROUND(B36+B37-B39,2)</f>
        <v>0</v>
      </c>
      <c r="C40" s="8">
        <f>ROUND(C36+C37-C39,2)</f>
        <v>0</v>
      </c>
    </row>
    <row r="41" spans="1:3">
      <c r="A41" s="11" t="s">
        <v>1450</v>
      </c>
      <c r="B41" s="10">
        <f>ROUND(本期TB!H207,2)</f>
        <v>0</v>
      </c>
      <c r="C41" s="10">
        <f>ROUND(上期TB!H207,2)</f>
        <v>0</v>
      </c>
    </row>
    <row r="42" spans="1:3">
      <c r="A42" s="11" t="s">
        <v>3133</v>
      </c>
      <c r="B42" s="8">
        <f>ROUND(B40-B41,2)</f>
        <v>0</v>
      </c>
      <c r="C42" s="8">
        <f>ROUND(C40-C41,2)</f>
        <v>0</v>
      </c>
    </row>
    <row r="43" spans="1:3">
      <c r="A43" s="11" t="s">
        <v>1451</v>
      </c>
      <c r="B43" s="13"/>
      <c r="C43" s="13"/>
    </row>
    <row r="44" spans="1:3">
      <c r="A44" s="11" t="s">
        <v>3128</v>
      </c>
      <c r="B44" s="15">
        <f>ROUND(B42-B45,2)</f>
        <v>0</v>
      </c>
      <c r="C44" s="15">
        <f>ROUND(C42-C45,2)</f>
        <v>0</v>
      </c>
    </row>
    <row r="45" spans="1:3">
      <c r="A45" s="11" t="s">
        <v>1452</v>
      </c>
      <c r="B45" s="10">
        <f>ROUND(本期TB!H214,2)</f>
        <v>0</v>
      </c>
      <c r="C45" s="10">
        <f>ROUND(上期TB!H214,2)</f>
        <v>0</v>
      </c>
    </row>
    <row r="46" spans="1:3">
      <c r="A46" s="11" t="s">
        <v>1453</v>
      </c>
      <c r="B46" s="13"/>
      <c r="C46" s="13"/>
    </row>
    <row r="47" spans="1:3">
      <c r="A47" s="11" t="s">
        <v>3134</v>
      </c>
      <c r="B47" s="15">
        <f>ROUND(B42-B48,2)</f>
        <v>0</v>
      </c>
      <c r="C47" s="15">
        <f>ROUND(C42-C48,2)</f>
        <v>0</v>
      </c>
    </row>
    <row r="48" spans="1:3">
      <c r="A48" s="11" t="s">
        <v>3135</v>
      </c>
      <c r="B48" s="14">
        <f>ROUND(本期TB!H211,2)</f>
        <v>0</v>
      </c>
      <c r="C48" s="14">
        <f>ROUND(上期TB!H211,2)</f>
        <v>0</v>
      </c>
    </row>
    <row r="49" spans="1:3">
      <c r="A49" s="11" t="s">
        <v>3136</v>
      </c>
      <c r="B49" s="15">
        <f>ROUND(B50+B67,2)</f>
        <v>0</v>
      </c>
      <c r="C49" s="15">
        <f>ROUND(C50+C67,2)</f>
        <v>0</v>
      </c>
    </row>
    <row r="50" spans="1:3">
      <c r="A50" s="11" t="s">
        <v>1454</v>
      </c>
      <c r="B50" s="15">
        <f>ROUND(B51+B57,2)</f>
        <v>0</v>
      </c>
      <c r="C50" s="15">
        <f>ROUND(C51+C57,2)</f>
        <v>0</v>
      </c>
    </row>
    <row r="51" spans="1:3">
      <c r="A51" s="11" t="s">
        <v>1455</v>
      </c>
      <c r="B51" s="15">
        <f>ROUND(SUM(B52:B56),2)</f>
        <v>0</v>
      </c>
      <c r="C51" s="15">
        <f>ROUND(SUM(C52:C56),2)</f>
        <v>0</v>
      </c>
    </row>
    <row r="52" spans="1:3">
      <c r="A52" s="11" t="s">
        <v>1491</v>
      </c>
      <c r="B52" s="10">
        <f>ROUND(本期TB!H218,2)</f>
        <v>0</v>
      </c>
      <c r="C52" s="10">
        <f>ROUND(上期TB!H218,2)</f>
        <v>0</v>
      </c>
    </row>
    <row r="53" spans="1:3">
      <c r="A53" s="11" t="s">
        <v>1492</v>
      </c>
      <c r="B53" s="10">
        <f>ROUND(本期TB!H219,2)</f>
        <v>0</v>
      </c>
      <c r="C53" s="10">
        <f>ROUND(上期TB!H219,2)</f>
        <v>0</v>
      </c>
    </row>
    <row r="54" spans="1:3">
      <c r="A54" s="11" t="s">
        <v>1493</v>
      </c>
      <c r="B54" s="10">
        <f>ROUND(本期TB!H220,2)</f>
        <v>0</v>
      </c>
      <c r="C54" s="14">
        <f>ROUND(上期TB!H220,2)</f>
        <v>0</v>
      </c>
    </row>
    <row r="55" spans="1:3">
      <c r="A55" s="11" t="s">
        <v>1494</v>
      </c>
      <c r="B55" s="10">
        <f>ROUND(本期TB!H221,2)</f>
        <v>0</v>
      </c>
      <c r="C55" s="14">
        <f>ROUND(上期TB!H221,2)</f>
        <v>0</v>
      </c>
    </row>
    <row r="56" spans="1:3">
      <c r="A56" s="11" t="s">
        <v>1495</v>
      </c>
      <c r="B56" s="10">
        <f>ROUND(本期TB!H222,2)</f>
        <v>0</v>
      </c>
      <c r="C56" s="16">
        <f>ROUND(上期TB!H222,2)</f>
        <v>0</v>
      </c>
    </row>
    <row r="57" spans="1:3">
      <c r="A57" s="11" t="s">
        <v>1456</v>
      </c>
      <c r="B57" s="15">
        <f>ROUND(SUM(B58:B66),2)</f>
        <v>0</v>
      </c>
      <c r="C57" s="15">
        <f>ROUND(SUM(C58:C66),2)</f>
        <v>0</v>
      </c>
    </row>
    <row r="58" spans="1:3">
      <c r="A58" s="11" t="s">
        <v>1496</v>
      </c>
      <c r="B58" s="10">
        <f>ROUND(本期TB!H224,2)</f>
        <v>0</v>
      </c>
      <c r="C58" s="10">
        <f>ROUND(上期TB!H224,2)</f>
        <v>0</v>
      </c>
    </row>
    <row r="59" spans="1:3">
      <c r="A59" s="11" t="s">
        <v>1497</v>
      </c>
      <c r="B59" s="10">
        <f>ROUND(本期TB!H225,2)</f>
        <v>0</v>
      </c>
      <c r="C59" s="10">
        <f>ROUND(上期TB!H225,2)</f>
        <v>0</v>
      </c>
    </row>
    <row r="60" spans="1:3">
      <c r="A60" s="11" t="s">
        <v>1498</v>
      </c>
      <c r="B60" s="10">
        <f>ROUND(本期TB!H226,2)</f>
        <v>0</v>
      </c>
      <c r="C60" s="10">
        <f>ROUND(上期TB!H226,2)</f>
        <v>0</v>
      </c>
    </row>
    <row r="61" spans="1:3">
      <c r="A61" s="11" t="s">
        <v>1499</v>
      </c>
      <c r="B61" s="10">
        <f>ROUND(本期TB!H227,2)</f>
        <v>0</v>
      </c>
      <c r="C61" s="10">
        <f>ROUND(上期TB!H227,2)</f>
        <v>0</v>
      </c>
    </row>
    <row r="62" spans="1:3">
      <c r="A62" s="11" t="s">
        <v>1500</v>
      </c>
      <c r="B62" s="10">
        <f>ROUND(本期TB!H228,2)</f>
        <v>0</v>
      </c>
      <c r="C62" s="10">
        <f>ROUND(上期TB!H228,2)</f>
        <v>0</v>
      </c>
    </row>
    <row r="63" spans="1:3">
      <c r="A63" s="11" t="s">
        <v>1501</v>
      </c>
      <c r="B63" s="10">
        <f>ROUND(本期TB!H229,2)</f>
        <v>0</v>
      </c>
      <c r="C63" s="10">
        <f>ROUND(上期TB!H229,2)</f>
        <v>0</v>
      </c>
    </row>
    <row r="64" spans="1:3">
      <c r="A64" s="11" t="s">
        <v>1502</v>
      </c>
      <c r="B64" s="10">
        <f>ROUND(本期TB!H230,2)</f>
        <v>0</v>
      </c>
      <c r="C64" s="10">
        <f>ROUND(上期TB!H230,2)</f>
        <v>0</v>
      </c>
    </row>
    <row r="65" spans="1:4">
      <c r="A65" s="11" t="s">
        <v>1503</v>
      </c>
      <c r="B65" s="10">
        <f>ROUND(本期TB!H231,2)</f>
        <v>0</v>
      </c>
      <c r="C65" s="10">
        <f>ROUND(上期TB!H231,2)</f>
        <v>0</v>
      </c>
    </row>
    <row r="66" spans="1:4">
      <c r="A66" s="11" t="s">
        <v>1495</v>
      </c>
      <c r="B66" s="10">
        <f>ROUND(本期TB!H232,2)</f>
        <v>0</v>
      </c>
      <c r="C66" s="17">
        <f>ROUND(上期TB!H232,2)</f>
        <v>0</v>
      </c>
    </row>
    <row r="67" spans="1:4">
      <c r="A67" s="11" t="s">
        <v>3130</v>
      </c>
      <c r="B67" s="10">
        <f>ROUND(本期TB!H233,2)</f>
        <v>0</v>
      </c>
      <c r="C67" s="10">
        <f>ROUND(上期TB!H233,2)</f>
        <v>0</v>
      </c>
    </row>
    <row r="68" spans="1:4">
      <c r="A68" s="11" t="s">
        <v>3137</v>
      </c>
      <c r="B68" s="8">
        <f>ROUND(B69+B70,2)</f>
        <v>0</v>
      </c>
      <c r="C68" s="8">
        <f>ROUND(C69+C70,2)</f>
        <v>0</v>
      </c>
    </row>
    <row r="69" spans="1:4">
      <c r="A69" s="11" t="s">
        <v>3129</v>
      </c>
      <c r="B69" s="8">
        <f>ROUND(B44+B50,2)</f>
        <v>0</v>
      </c>
      <c r="C69" s="8">
        <f>ROUND(C44+C50,2)</f>
        <v>0</v>
      </c>
    </row>
    <row r="70" spans="1:4">
      <c r="A70" s="11" t="s">
        <v>1457</v>
      </c>
      <c r="B70" s="8">
        <f>ROUND(B45+B67,2)</f>
        <v>0</v>
      </c>
      <c r="C70" s="8">
        <f>ROUND(C45+C67,2)</f>
        <v>0</v>
      </c>
    </row>
    <row r="71" spans="1:4">
      <c r="A71" s="11" t="s">
        <v>1458</v>
      </c>
      <c r="B71" s="13"/>
      <c r="C71" s="13"/>
    </row>
    <row r="72" spans="1:4">
      <c r="A72" s="11" t="s">
        <v>1459</v>
      </c>
      <c r="B72" s="10">
        <f>本期TB!H238</f>
        <v>0</v>
      </c>
      <c r="C72" s="14">
        <f>上期TB!H238</f>
        <v>0</v>
      </c>
    </row>
    <row r="73" spans="1:4">
      <c r="A73" s="11" t="s">
        <v>1460</v>
      </c>
      <c r="B73" s="10">
        <f>本期TB!H239</f>
        <v>0</v>
      </c>
      <c r="C73" s="14">
        <f>上期TB!H239</f>
        <v>0</v>
      </c>
      <c r="D73" s="10"/>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sheetPr codeName="Sheet163"/>
  <dimension ref="A1:R25"/>
  <sheetViews>
    <sheetView workbookViewId="0">
      <pane xSplit="1" ySplit="1" topLeftCell="B2" activePane="bottomRight" state="frozen"/>
      <selection activeCell="D22" sqref="D22"/>
      <selection pane="topRight" activeCell="D22" sqref="D22"/>
      <selection pane="bottomLeft" activeCell="D22" sqref="D22"/>
      <selection pane="bottomRight" activeCell="G19" sqref="G19"/>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29" bestFit="1" customWidth="1"/>
    <col min="15" max="15" width="35.88671875" bestFit="1" customWidth="1"/>
    <col min="16" max="16" width="9.5546875" bestFit="1" customWidth="1"/>
    <col min="17" max="18" width="13.88671875" bestFit="1" customWidth="1"/>
  </cols>
  <sheetData>
    <row r="1" spans="1:18">
      <c r="A1" t="s">
        <v>2383</v>
      </c>
      <c r="B1" t="s">
        <v>2415</v>
      </c>
      <c r="C1" t="s">
        <v>388</v>
      </c>
      <c r="D1" t="s">
        <v>2416</v>
      </c>
      <c r="E1" t="s">
        <v>369</v>
      </c>
      <c r="F1" t="s">
        <v>381</v>
      </c>
      <c r="G1" t="s">
        <v>372</v>
      </c>
      <c r="H1" t="s">
        <v>578</v>
      </c>
      <c r="I1" t="s">
        <v>2417</v>
      </c>
      <c r="J1" t="s">
        <v>2418</v>
      </c>
      <c r="K1" t="s">
        <v>2419</v>
      </c>
      <c r="L1" t="s">
        <v>448</v>
      </c>
      <c r="M1" t="s">
        <v>2420</v>
      </c>
      <c r="N1" s="229" t="s">
        <v>390</v>
      </c>
      <c r="O1" t="s">
        <v>2421</v>
      </c>
      <c r="P1" t="s">
        <v>2422</v>
      </c>
      <c r="Q1" t="s">
        <v>2423</v>
      </c>
      <c r="R1" t="s">
        <v>2424</v>
      </c>
    </row>
    <row r="2" spans="1:18">
      <c r="A2" t="str">
        <f>IF(F2&gt;0,基础信息!$B$1,"")</f>
        <v/>
      </c>
      <c r="B2" s="255"/>
      <c r="C2" s="255"/>
      <c r="D2" s="255"/>
      <c r="E2" s="255"/>
      <c r="F2" s="255"/>
      <c r="G2" s="255"/>
      <c r="H2" s="255"/>
      <c r="I2" s="255"/>
      <c r="J2" s="255"/>
      <c r="K2" s="255"/>
      <c r="L2" s="255"/>
      <c r="M2" s="255"/>
      <c r="N2" s="229">
        <f>H2+I2+J2-K2-L2+M2</f>
        <v>0</v>
      </c>
      <c r="O2" s="255"/>
      <c r="P2" s="255"/>
      <c r="Q2" s="255"/>
      <c r="R2" s="255"/>
    </row>
    <row r="3" spans="1:18">
      <c r="A3" t="str">
        <f>IF(F3&gt;0,基础信息!$B$1,"")</f>
        <v/>
      </c>
      <c r="B3" s="255"/>
      <c r="C3" s="255"/>
      <c r="D3" s="255"/>
      <c r="E3" s="255"/>
      <c r="F3" s="255"/>
      <c r="G3" s="255"/>
      <c r="H3" s="255"/>
      <c r="I3" s="255"/>
      <c r="J3" s="255"/>
      <c r="K3" s="255"/>
      <c r="L3" s="255"/>
      <c r="M3" s="255"/>
      <c r="N3" s="229">
        <f t="shared" ref="N3:N15" si="0">H3+I3+J3-K3-L3+M3</f>
        <v>0</v>
      </c>
      <c r="O3" s="255"/>
      <c r="P3" s="255"/>
      <c r="Q3" s="255"/>
      <c r="R3" s="255"/>
    </row>
    <row r="4" spans="1:18">
      <c r="A4" t="str">
        <f>IF(F4&gt;0,基础信息!$B$1,"")</f>
        <v/>
      </c>
      <c r="B4" s="255"/>
      <c r="C4" s="255"/>
      <c r="D4" s="255"/>
      <c r="E4" s="255"/>
      <c r="F4" s="255"/>
      <c r="G4" s="255"/>
      <c r="H4" s="255"/>
      <c r="I4" s="255"/>
      <c r="J4" s="255"/>
      <c r="K4" s="255"/>
      <c r="L4" s="255"/>
      <c r="M4" s="255"/>
      <c r="N4" s="229">
        <f t="shared" si="0"/>
        <v>0</v>
      </c>
      <c r="O4" s="255"/>
      <c r="P4" s="255"/>
      <c r="Q4" s="255"/>
      <c r="R4" s="255"/>
    </row>
    <row r="5" spans="1:18">
      <c r="A5" t="str">
        <f>IF(F5&gt;0,基础信息!$B$1,"")</f>
        <v/>
      </c>
      <c r="B5" s="255"/>
      <c r="C5" s="255"/>
      <c r="D5" s="255"/>
      <c r="E5" s="255"/>
      <c r="F5" s="255"/>
      <c r="G5" s="255"/>
      <c r="H5" s="255"/>
      <c r="I5" s="255"/>
      <c r="J5" s="255"/>
      <c r="K5" s="255"/>
      <c r="L5" s="255"/>
      <c r="M5" s="255"/>
      <c r="N5" s="229">
        <f t="shared" si="0"/>
        <v>0</v>
      </c>
      <c r="O5" s="255"/>
      <c r="P5" s="255"/>
      <c r="Q5" s="255"/>
      <c r="R5" s="255"/>
    </row>
    <row r="6" spans="1:18">
      <c r="A6" t="str">
        <f>IF(F6&gt;0,基础信息!$B$1,"")</f>
        <v/>
      </c>
      <c r="B6" s="255"/>
      <c r="C6" s="255"/>
      <c r="D6" s="255"/>
      <c r="E6" s="255"/>
      <c r="F6" s="255"/>
      <c r="G6" s="255"/>
      <c r="H6" s="255"/>
      <c r="I6" s="255"/>
      <c r="J6" s="255"/>
      <c r="K6" s="255"/>
      <c r="L6" s="255"/>
      <c r="M6" s="255"/>
      <c r="N6" s="229">
        <f t="shared" si="0"/>
        <v>0</v>
      </c>
      <c r="O6" s="255"/>
      <c r="P6" s="255"/>
      <c r="Q6" s="255"/>
      <c r="R6" s="255"/>
    </row>
    <row r="7" spans="1:18">
      <c r="A7" t="str">
        <f>IF(F7&gt;0,基础信息!$B$1,"")</f>
        <v/>
      </c>
      <c r="B7" s="255"/>
      <c r="C7" s="255"/>
      <c r="D7" s="255"/>
      <c r="E7" s="255"/>
      <c r="F7" s="255"/>
      <c r="G7" s="255"/>
      <c r="H7" s="255"/>
      <c r="I7" s="255"/>
      <c r="J7" s="255"/>
      <c r="K7" s="255"/>
      <c r="L7" s="255"/>
      <c r="M7" s="255"/>
      <c r="N7" s="229">
        <f t="shared" si="0"/>
        <v>0</v>
      </c>
      <c r="O7" s="255"/>
      <c r="P7" s="255"/>
      <c r="Q7" s="255"/>
      <c r="R7" s="255"/>
    </row>
    <row r="8" spans="1:18">
      <c r="A8" t="str">
        <f>IF(F8&gt;0,基础信息!$B$1,"")</f>
        <v/>
      </c>
      <c r="B8" s="255"/>
      <c r="C8" s="255"/>
      <c r="D8" s="255"/>
      <c r="E8" s="255"/>
      <c r="F8" s="255"/>
      <c r="G8" s="255"/>
      <c r="H8" s="255"/>
      <c r="I8" s="255"/>
      <c r="J8" s="255"/>
      <c r="K8" s="255"/>
      <c r="L8" s="255"/>
      <c r="M8" s="255"/>
      <c r="N8" s="229">
        <f t="shared" si="0"/>
        <v>0</v>
      </c>
      <c r="O8" s="255"/>
      <c r="P8" s="255"/>
      <c r="Q8" s="255"/>
      <c r="R8" s="255"/>
    </row>
    <row r="9" spans="1:18">
      <c r="A9" t="str">
        <f>IF(F9&gt;0,基础信息!$B$1,"")</f>
        <v/>
      </c>
      <c r="B9" s="255"/>
      <c r="C9" s="255"/>
      <c r="D9" s="255"/>
      <c r="E9" s="255"/>
      <c r="F9" s="255"/>
      <c r="G9" s="255"/>
      <c r="H9" s="255"/>
      <c r="I9" s="255"/>
      <c r="J9" s="255"/>
      <c r="K9" s="255"/>
      <c r="L9" s="255"/>
      <c r="M9" s="255"/>
      <c r="N9" s="229">
        <f t="shared" si="0"/>
        <v>0</v>
      </c>
      <c r="O9" s="255"/>
      <c r="P9" s="255"/>
      <c r="Q9" s="255"/>
      <c r="R9" s="255"/>
    </row>
    <row r="10" spans="1:18">
      <c r="A10" t="str">
        <f>IF(F10&gt;0,基础信息!$B$1,"")</f>
        <v/>
      </c>
      <c r="B10" s="255"/>
      <c r="C10" s="255"/>
      <c r="D10" s="255"/>
      <c r="E10" s="255"/>
      <c r="F10" s="255"/>
      <c r="G10" s="255"/>
      <c r="H10" s="255"/>
      <c r="I10" s="255"/>
      <c r="J10" s="255"/>
      <c r="K10" s="255"/>
      <c r="L10" s="255"/>
      <c r="M10" s="255"/>
      <c r="N10" s="229">
        <f t="shared" si="0"/>
        <v>0</v>
      </c>
      <c r="O10" s="255"/>
      <c r="P10" s="255"/>
      <c r="Q10" s="255"/>
      <c r="R10" s="255"/>
    </row>
    <row r="11" spans="1:18">
      <c r="A11" t="str">
        <f>IF(F11&gt;0,基础信息!$B$1,"")</f>
        <v/>
      </c>
      <c r="B11" s="255"/>
      <c r="C11" s="255"/>
      <c r="D11" s="255"/>
      <c r="E11" s="255"/>
      <c r="F11" s="255"/>
      <c r="G11" s="255"/>
      <c r="H11" s="255"/>
      <c r="I11" s="255"/>
      <c r="J11" s="255"/>
      <c r="K11" s="255"/>
      <c r="L11" s="255"/>
      <c r="M11" s="255"/>
      <c r="N11" s="229">
        <f t="shared" si="0"/>
        <v>0</v>
      </c>
      <c r="O11" s="255"/>
      <c r="P11" s="255"/>
      <c r="Q11" s="255"/>
      <c r="R11" s="255"/>
    </row>
    <row r="12" spans="1:18">
      <c r="A12" t="str">
        <f>IF(F12&gt;0,基础信息!$B$1,"")</f>
        <v/>
      </c>
      <c r="B12" s="255"/>
      <c r="C12" s="255"/>
      <c r="D12" s="255"/>
      <c r="E12" s="255"/>
      <c r="F12" s="255"/>
      <c r="G12" s="255"/>
      <c r="H12" s="255"/>
      <c r="I12" s="255"/>
      <c r="J12" s="255"/>
      <c r="K12" s="255"/>
      <c r="L12" s="255"/>
      <c r="M12" s="255"/>
      <c r="N12" s="229">
        <f t="shared" si="0"/>
        <v>0</v>
      </c>
      <c r="O12" s="255"/>
      <c r="P12" s="255"/>
      <c r="Q12" s="255"/>
      <c r="R12" s="255"/>
    </row>
    <row r="13" spans="1:18">
      <c r="A13" t="str">
        <f>IF(F13&gt;0,基础信息!$B$1,"")</f>
        <v/>
      </c>
      <c r="B13" s="255"/>
      <c r="C13" s="255"/>
      <c r="D13" s="255"/>
      <c r="E13" s="255"/>
      <c r="F13" s="255"/>
      <c r="G13" s="255"/>
      <c r="H13" s="255"/>
      <c r="I13" s="255"/>
      <c r="J13" s="255"/>
      <c r="K13" s="255"/>
      <c r="L13" s="255"/>
      <c r="M13" s="255"/>
      <c r="N13" s="229">
        <f t="shared" si="0"/>
        <v>0</v>
      </c>
      <c r="O13" s="255"/>
      <c r="P13" s="255"/>
      <c r="Q13" s="255"/>
      <c r="R13" s="255"/>
    </row>
    <row r="14" spans="1:18">
      <c r="A14" t="str">
        <f>IF(F14&gt;0,基础信息!$B$1,"")</f>
        <v/>
      </c>
      <c r="B14" s="255"/>
      <c r="C14" s="255"/>
      <c r="D14" s="255"/>
      <c r="E14" s="255"/>
      <c r="F14" s="255"/>
      <c r="G14" s="255"/>
      <c r="H14" s="255"/>
      <c r="I14" s="255"/>
      <c r="J14" s="255"/>
      <c r="K14" s="255"/>
      <c r="L14" s="255"/>
      <c r="M14" s="255"/>
      <c r="N14" s="229">
        <f t="shared" si="0"/>
        <v>0</v>
      </c>
      <c r="O14" s="255"/>
      <c r="P14" s="255"/>
      <c r="Q14" s="255"/>
      <c r="R14" s="255"/>
    </row>
    <row r="15" spans="1:18">
      <c r="A15" t="str">
        <f>IF(F15&gt;0,基础信息!$B$1,"")</f>
        <v/>
      </c>
      <c r="B15" s="255"/>
      <c r="C15" s="255"/>
      <c r="D15" s="255"/>
      <c r="E15" s="255"/>
      <c r="F15" s="255"/>
      <c r="G15" s="255"/>
      <c r="H15" s="255"/>
      <c r="I15" s="255"/>
      <c r="J15" s="255"/>
      <c r="K15" s="255"/>
      <c r="L15" s="255"/>
      <c r="M15" s="255"/>
      <c r="N15" s="229">
        <f t="shared" si="0"/>
        <v>0</v>
      </c>
      <c r="O15" s="255"/>
      <c r="P15" s="255"/>
      <c r="Q15" s="255"/>
      <c r="R15" s="255"/>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sheetPr codeName="Sheet164"/>
  <dimension ref="A1:U13"/>
  <sheetViews>
    <sheetView workbookViewId="0">
      <pane xSplit="1" ySplit="1" topLeftCell="B2" activePane="bottomRight" state="frozen"/>
      <selection activeCell="D22" sqref="D22"/>
      <selection pane="topRight" activeCell="D22" sqref="D22"/>
      <selection pane="bottomLeft" activeCell="D22" sqref="D22"/>
      <selection pane="bottomRight" activeCell="A6" sqref="A6"/>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29"/>
    <col min="14" max="14" width="51.21875" bestFit="1" customWidth="1"/>
    <col min="15" max="15" width="18.33203125" bestFit="1" customWidth="1"/>
    <col min="19" max="19" width="8.88671875" style="229"/>
    <col min="20" max="20" width="18.33203125" bestFit="1" customWidth="1"/>
    <col min="21" max="21" width="22.6640625" bestFit="1" customWidth="1"/>
    <col min="22" max="36" width="9.88671875" customWidth="1"/>
  </cols>
  <sheetData>
    <row r="1" spans="1:21">
      <c r="A1" t="s">
        <v>2383</v>
      </c>
      <c r="B1" t="s">
        <v>389</v>
      </c>
      <c r="C1" t="s">
        <v>2425</v>
      </c>
      <c r="D1" t="s">
        <v>2426</v>
      </c>
      <c r="E1" t="s">
        <v>2427</v>
      </c>
      <c r="F1" t="s">
        <v>578</v>
      </c>
      <c r="G1" t="s">
        <v>2428</v>
      </c>
      <c r="H1" t="s">
        <v>2434</v>
      </c>
      <c r="I1" t="s">
        <v>2418</v>
      </c>
      <c r="J1" t="s">
        <v>2419</v>
      </c>
      <c r="K1" t="s">
        <v>448</v>
      </c>
      <c r="L1" t="s">
        <v>2420</v>
      </c>
      <c r="M1" s="229" t="s">
        <v>390</v>
      </c>
      <c r="N1" t="s">
        <v>2429</v>
      </c>
      <c r="O1" t="s">
        <v>2432</v>
      </c>
      <c r="P1" t="s">
        <v>2435</v>
      </c>
      <c r="Q1" t="s">
        <v>2436</v>
      </c>
      <c r="R1" t="s">
        <v>2437</v>
      </c>
      <c r="S1" s="229" t="s">
        <v>271</v>
      </c>
      <c r="T1" t="s">
        <v>2430</v>
      </c>
      <c r="U1" t="s">
        <v>2431</v>
      </c>
    </row>
    <row r="2" spans="1:21">
      <c r="A2" t="str">
        <f>IF(E2&gt;0,基础信息!$B$1,"")</f>
        <v/>
      </c>
      <c r="B2" s="255"/>
      <c r="C2" s="276"/>
      <c r="D2" s="255"/>
      <c r="E2" s="255"/>
      <c r="F2" s="255"/>
      <c r="G2" s="255"/>
      <c r="H2" s="255"/>
      <c r="I2" s="255"/>
      <c r="J2" s="255"/>
      <c r="K2" s="255"/>
      <c r="L2" s="255"/>
      <c r="M2" s="229">
        <f t="shared" ref="M2:M13" si="0">F2+G2+H2+I2-J2-K2+L2</f>
        <v>0</v>
      </c>
      <c r="N2" s="255"/>
      <c r="O2" s="255"/>
      <c r="P2" s="255"/>
      <c r="Q2" s="255"/>
      <c r="R2" s="255"/>
      <c r="S2" s="229">
        <f>O2++P2+Q2-R2</f>
        <v>0</v>
      </c>
    </row>
    <row r="3" spans="1:21">
      <c r="A3" t="str">
        <f>IF(E3&gt;0,基础信息!$B$1,"")</f>
        <v/>
      </c>
      <c r="B3" s="255"/>
      <c r="C3" s="276"/>
      <c r="D3" s="255"/>
      <c r="E3" s="255"/>
      <c r="F3" s="255"/>
      <c r="G3" s="255"/>
      <c r="H3" s="255"/>
      <c r="I3" s="255"/>
      <c r="J3" s="255"/>
      <c r="K3" s="255"/>
      <c r="L3" s="255"/>
      <c r="M3" s="229">
        <f t="shared" si="0"/>
        <v>0</v>
      </c>
      <c r="N3" s="255"/>
      <c r="O3" s="255"/>
      <c r="P3" s="255"/>
      <c r="Q3" s="255"/>
      <c r="R3" s="255"/>
      <c r="S3" s="229">
        <f>O3++P3+Q3-R3</f>
        <v>0</v>
      </c>
    </row>
    <row r="4" spans="1:21">
      <c r="A4" t="str">
        <f>IF(E4&gt;0,基础信息!$B$1,"")</f>
        <v/>
      </c>
      <c r="B4" s="255"/>
      <c r="C4" s="276"/>
      <c r="D4" s="255"/>
      <c r="E4" s="255"/>
      <c r="F4" s="255"/>
      <c r="G4" s="255"/>
      <c r="H4" s="255"/>
      <c r="I4" s="255"/>
      <c r="J4" s="255"/>
      <c r="K4" s="255"/>
      <c r="L4" s="255"/>
      <c r="M4" s="229">
        <f t="shared" si="0"/>
        <v>0</v>
      </c>
      <c r="N4" s="255"/>
      <c r="O4" s="255"/>
      <c r="P4" s="255"/>
      <c r="Q4" s="255"/>
      <c r="R4" s="255"/>
      <c r="S4" s="229">
        <f t="shared" ref="S4:S12" si="1">O4++P4+Q4-R4</f>
        <v>0</v>
      </c>
    </row>
    <row r="5" spans="1:21">
      <c r="A5" t="str">
        <f>IF(E5&gt;0,基础信息!$B$1,"")</f>
        <v/>
      </c>
      <c r="B5" s="255"/>
      <c r="C5" s="276"/>
      <c r="D5" s="255"/>
      <c r="E5" s="255"/>
      <c r="F5" s="255"/>
      <c r="G5" s="255"/>
      <c r="H5" s="255"/>
      <c r="I5" s="255"/>
      <c r="J5" s="255"/>
      <c r="K5" s="255"/>
      <c r="L5" s="255"/>
      <c r="M5" s="229">
        <f t="shared" si="0"/>
        <v>0</v>
      </c>
      <c r="N5" s="255"/>
      <c r="O5" s="255"/>
      <c r="P5" s="255"/>
      <c r="Q5" s="255"/>
      <c r="R5" s="255"/>
      <c r="S5" s="229">
        <f t="shared" si="1"/>
        <v>0</v>
      </c>
    </row>
    <row r="6" spans="1:21">
      <c r="A6" t="str">
        <f>IF(E6&gt;0,基础信息!$B$1,"")</f>
        <v/>
      </c>
      <c r="B6" s="255"/>
      <c r="C6" s="276"/>
      <c r="D6" s="255"/>
      <c r="E6" s="255"/>
      <c r="F6" s="255"/>
      <c r="G6" s="255"/>
      <c r="H6" s="255"/>
      <c r="I6" s="255"/>
      <c r="J6" s="255"/>
      <c r="K6" s="255"/>
      <c r="L6" s="255"/>
      <c r="M6" s="229">
        <f t="shared" si="0"/>
        <v>0</v>
      </c>
      <c r="N6" s="255"/>
      <c r="O6" s="255"/>
      <c r="P6" s="255"/>
      <c r="Q6" s="255"/>
      <c r="R6" s="255"/>
      <c r="S6" s="229">
        <f t="shared" si="1"/>
        <v>0</v>
      </c>
    </row>
    <row r="7" spans="1:21">
      <c r="A7" t="str">
        <f>IF(E7&gt;0,基础信息!$B$1,"")</f>
        <v/>
      </c>
      <c r="B7" s="255"/>
      <c r="C7" s="276"/>
      <c r="D7" s="255"/>
      <c r="E7" s="255"/>
      <c r="F7" s="255"/>
      <c r="G7" s="255"/>
      <c r="H7" s="255"/>
      <c r="I7" s="255"/>
      <c r="J7" s="255"/>
      <c r="K7" s="255"/>
      <c r="L7" s="255"/>
      <c r="M7" s="229">
        <f t="shared" si="0"/>
        <v>0</v>
      </c>
      <c r="N7" s="255"/>
      <c r="O7" s="255"/>
      <c r="P7" s="255"/>
      <c r="Q7" s="255"/>
      <c r="R7" s="255"/>
      <c r="S7" s="229">
        <f t="shared" si="1"/>
        <v>0</v>
      </c>
    </row>
    <row r="8" spans="1:21">
      <c r="A8" t="str">
        <f>IF(E8&gt;0,基础信息!$B$1,"")</f>
        <v/>
      </c>
      <c r="B8" s="255"/>
      <c r="C8" s="276"/>
      <c r="D8" s="255"/>
      <c r="E8" s="255"/>
      <c r="F8" s="255"/>
      <c r="G8" s="255"/>
      <c r="H8" s="255"/>
      <c r="I8" s="255"/>
      <c r="J8" s="255"/>
      <c r="K8" s="255"/>
      <c r="L8" s="255"/>
      <c r="M8" s="229">
        <f t="shared" si="0"/>
        <v>0</v>
      </c>
      <c r="N8" s="255"/>
      <c r="O8" s="255"/>
      <c r="P8" s="255"/>
      <c r="Q8" s="255"/>
      <c r="R8" s="255"/>
      <c r="S8" s="229">
        <f t="shared" si="1"/>
        <v>0</v>
      </c>
    </row>
    <row r="9" spans="1:21">
      <c r="A9" t="str">
        <f>IF(E9&gt;0,基础信息!$B$1,"")</f>
        <v/>
      </c>
      <c r="B9" s="255"/>
      <c r="C9" s="276"/>
      <c r="D9" s="255"/>
      <c r="E9" s="255"/>
      <c r="F9" s="255"/>
      <c r="G9" s="255"/>
      <c r="H9" s="255"/>
      <c r="I9" s="255"/>
      <c r="J9" s="255"/>
      <c r="K9" s="255"/>
      <c r="L9" s="255"/>
      <c r="M9" s="229">
        <f t="shared" si="0"/>
        <v>0</v>
      </c>
      <c r="N9" s="255"/>
      <c r="O9" s="255"/>
      <c r="P9" s="255"/>
      <c r="Q9" s="255"/>
      <c r="R9" s="255"/>
      <c r="S9" s="229">
        <f t="shared" si="1"/>
        <v>0</v>
      </c>
    </row>
    <row r="10" spans="1:21">
      <c r="A10" t="str">
        <f>IF(E10&gt;0,基础信息!$B$1,"")</f>
        <v/>
      </c>
      <c r="B10" s="255"/>
      <c r="C10" s="276"/>
      <c r="D10" s="255"/>
      <c r="E10" s="255"/>
      <c r="F10" s="255"/>
      <c r="G10" s="255"/>
      <c r="H10" s="255"/>
      <c r="I10" s="255"/>
      <c r="J10" s="255"/>
      <c r="K10" s="255"/>
      <c r="L10" s="255"/>
      <c r="M10" s="229">
        <f t="shared" si="0"/>
        <v>0</v>
      </c>
      <c r="N10" s="255"/>
      <c r="O10" s="255"/>
      <c r="P10" s="255"/>
      <c r="Q10" s="255"/>
      <c r="R10" s="255"/>
      <c r="S10" s="229">
        <f t="shared" si="1"/>
        <v>0</v>
      </c>
    </row>
    <row r="11" spans="1:21">
      <c r="A11" t="str">
        <f>IF(E11&gt;0,基础信息!$B$1,"")</f>
        <v/>
      </c>
      <c r="B11" s="255"/>
      <c r="C11" s="276"/>
      <c r="D11" s="255"/>
      <c r="E11" s="255"/>
      <c r="F11" s="255"/>
      <c r="G11" s="255"/>
      <c r="H11" s="255"/>
      <c r="I11" s="255"/>
      <c r="J11" s="255"/>
      <c r="K11" s="255"/>
      <c r="L11" s="255"/>
      <c r="M11" s="229">
        <f t="shared" si="0"/>
        <v>0</v>
      </c>
      <c r="N11" s="255"/>
      <c r="O11" s="255"/>
      <c r="P11" s="255"/>
      <c r="Q11" s="255"/>
      <c r="R11" s="255"/>
      <c r="S11" s="229">
        <f t="shared" si="1"/>
        <v>0</v>
      </c>
    </row>
    <row r="12" spans="1:21">
      <c r="A12" t="str">
        <f>IF(E12&gt;0,基础信息!$B$1,"")</f>
        <v/>
      </c>
      <c r="B12" s="255"/>
      <c r="C12" s="276"/>
      <c r="D12" s="255"/>
      <c r="E12" s="255"/>
      <c r="F12" s="255"/>
      <c r="G12" s="255"/>
      <c r="H12" s="255"/>
      <c r="I12" s="255"/>
      <c r="J12" s="255"/>
      <c r="K12" s="255"/>
      <c r="L12" s="255"/>
      <c r="M12" s="229">
        <f t="shared" si="0"/>
        <v>0</v>
      </c>
      <c r="N12" s="255"/>
      <c r="O12" s="255"/>
      <c r="P12" s="255"/>
      <c r="Q12" s="255"/>
      <c r="R12" s="255"/>
      <c r="S12" s="229">
        <f t="shared" si="1"/>
        <v>0</v>
      </c>
    </row>
    <row r="13" spans="1:21">
      <c r="M13"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分类表!$72:$72</xm:f>
          </x14:formula1>
          <xm:sqref>C2:C41</xm:sqref>
        </x14:dataValidation>
      </x14:dataValidations>
    </ext>
  </extLst>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codeName="Sheet165">
    <tabColor rgb="FFFFC000"/>
  </sheetPr>
  <dimension ref="A1:G6"/>
  <sheetViews>
    <sheetView workbookViewId="0">
      <selection activeCell="J25" sqref="J25"/>
    </sheetView>
  </sheetViews>
  <sheetFormatPr defaultRowHeight="13.8"/>
  <cols>
    <col min="1" max="16384" width="8.88671875" style="18"/>
  </cols>
  <sheetData>
    <row r="1" spans="1:7" ht="28.8">
      <c r="A1" s="32" t="s">
        <v>28</v>
      </c>
      <c r="B1" s="32" t="s">
        <v>368</v>
      </c>
      <c r="C1" s="32" t="s">
        <v>363</v>
      </c>
      <c r="D1" s="32" t="s">
        <v>364</v>
      </c>
      <c r="E1" s="20" t="s">
        <v>387</v>
      </c>
      <c r="F1" s="32" t="s">
        <v>347</v>
      </c>
      <c r="G1" s="32" t="s">
        <v>346</v>
      </c>
    </row>
    <row r="2" spans="1:7" ht="14.4">
      <c r="A2" s="19" t="s">
        <v>365</v>
      </c>
      <c r="B2" s="293">
        <f>ROUND(SUMIF(其他债权投资明细表!$B:$B,$A2,其他债权投资明细表!Q:Q),2)</f>
        <v>0</v>
      </c>
      <c r="C2" s="293">
        <f>ROUND(SUMIF(其他债权投资明细表!$B:$B,$A2,其他债权投资明细表!R:R),2)</f>
        <v>0</v>
      </c>
      <c r="D2" s="293">
        <f>ROUND(SUMIF(其他债权投资明细表!$B:$B,$A2,其他债权投资明细表!S:S),2)</f>
        <v>0</v>
      </c>
      <c r="E2" s="293">
        <f>ROUND(SUMIF(其他债权投资明细表!$B:$B,$A2,其他债权投资明细表!T:T),2)</f>
        <v>0</v>
      </c>
      <c r="F2" s="68">
        <f>ROUND(SUM(B2:E2),2)</f>
        <v>0</v>
      </c>
      <c r="G2" s="293">
        <f>ROUND(SUMIF(其他债权投资减值准备明细表!B:B,A2,其他债权投资减值准备明细表!O:O),2)</f>
        <v>0</v>
      </c>
    </row>
    <row r="3" spans="1:7" ht="14.4">
      <c r="A3" s="19" t="s">
        <v>366</v>
      </c>
      <c r="B3" s="293">
        <f>ROUND(SUMIF(其他债权投资明细表!$B:$B,$A3,其他债权投资明细表!Q:Q),2)</f>
        <v>0</v>
      </c>
      <c r="C3" s="293">
        <f>ROUND(SUMIF(其他债权投资明细表!$B:$B,$A3,其他债权投资明细表!R:R),2)</f>
        <v>0</v>
      </c>
      <c r="D3" s="293">
        <f>ROUND(SUMIF(其他债权投资明细表!$B:$B,$A3,其他债权投资明细表!S:S),2)</f>
        <v>0</v>
      </c>
      <c r="E3" s="293">
        <f>ROUND(SUMIF(其他债权投资明细表!$B:$B,$A3,其他债权投资明细表!T:T),2)</f>
        <v>0</v>
      </c>
      <c r="F3" s="68">
        <f>ROUND(SUM(B3:E3),2)</f>
        <v>0</v>
      </c>
      <c r="G3" s="293">
        <f>ROUND(SUMIF(其他债权投资减值准备明细表!B:B,A3,其他债权投资减值准备明细表!O:O),2)</f>
        <v>0</v>
      </c>
    </row>
    <row r="4" spans="1:7" ht="14.4">
      <c r="A4" s="19" t="s">
        <v>367</v>
      </c>
      <c r="B4" s="293">
        <f>ROUND(SUMIF(其他债权投资明细表!$B:$B,$A4,其他债权投资明细表!Q:Q),2)</f>
        <v>0</v>
      </c>
      <c r="C4" s="293">
        <f>ROUND(SUMIF(其他债权投资明细表!$B:$B,$A4,其他债权投资明细表!R:R),2)</f>
        <v>0</v>
      </c>
      <c r="D4" s="293">
        <f>ROUND(SUMIF(其他债权投资明细表!$B:$B,$A4,其他债权投资明细表!S:S),2)</f>
        <v>0</v>
      </c>
      <c r="E4" s="293">
        <f>ROUND(SUMIF(其他债权投资明细表!$B:$B,$A4,其他债权投资明细表!T:T),2)</f>
        <v>0</v>
      </c>
      <c r="F4" s="68">
        <f>ROUND(SUM(B4:E4),2)</f>
        <v>0</v>
      </c>
      <c r="G4" s="293">
        <f>ROUND(SUMIF(其他债权投资减值准备明细表!B:B,A4,其他债权投资减值准备明细表!O:O),2)</f>
        <v>0</v>
      </c>
    </row>
    <row r="5" spans="1:7" ht="14.4">
      <c r="A5" s="19" t="s">
        <v>13</v>
      </c>
      <c r="B5" s="293">
        <f>ROUND(SUMIF(其他债权投资明细表!$B:$B,$A5,其他债权投资明细表!Q:Q),2)</f>
        <v>0</v>
      </c>
      <c r="C5" s="293">
        <f>ROUND(SUMIF(其他债权投资明细表!$B:$B,$A5,其他债权投资明细表!R:R),2)</f>
        <v>0</v>
      </c>
      <c r="D5" s="293">
        <f>ROUND(SUMIF(其他债权投资明细表!$B:$B,$A5,其他债权投资明细表!S:S),2)</f>
        <v>0</v>
      </c>
      <c r="E5" s="293">
        <f>ROUND(SUMIF(其他债权投资明细表!$B:$B,$A5,其他债权投资明细表!T:T),2)</f>
        <v>0</v>
      </c>
      <c r="F5" s="68">
        <f>ROUND(SUM(B5:E5),2)</f>
        <v>0</v>
      </c>
      <c r="G5" s="293">
        <f>ROUND(SUMIF(其他债权投资减值准备明细表!B:B,A5,其他债权投资减值准备明细表!O:O),2)</f>
        <v>0</v>
      </c>
    </row>
    <row r="6" spans="1:7" ht="14.4">
      <c r="A6" s="31" t="s">
        <v>204</v>
      </c>
      <c r="B6" s="293">
        <f t="shared" ref="B6:G6" si="0">ROUND(SUM(B2:B5),2)</f>
        <v>0</v>
      </c>
      <c r="C6" s="293">
        <f t="shared" si="0"/>
        <v>0</v>
      </c>
      <c r="D6" s="293">
        <f t="shared" si="0"/>
        <v>0</v>
      </c>
      <c r="E6" s="293">
        <f t="shared" si="0"/>
        <v>0</v>
      </c>
      <c r="F6" s="68">
        <f t="shared" si="0"/>
        <v>0</v>
      </c>
      <c r="G6" s="68">
        <f t="shared" si="0"/>
        <v>0</v>
      </c>
    </row>
  </sheetData>
  <phoneticPr fontId="1" type="noConversion"/>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codeName="Sheet166">
    <tabColor rgb="FFFFC000"/>
  </sheetPr>
  <dimension ref="A1:G6"/>
  <sheetViews>
    <sheetView workbookViewId="0">
      <selection activeCell="L28" sqref="L28"/>
    </sheetView>
  </sheetViews>
  <sheetFormatPr defaultRowHeight="13.8"/>
  <cols>
    <col min="1" max="16384" width="8.88671875" style="18"/>
  </cols>
  <sheetData>
    <row r="1" spans="1:7" ht="28.8">
      <c r="A1" s="32" t="s">
        <v>28</v>
      </c>
      <c r="B1" s="32" t="s">
        <v>368</v>
      </c>
      <c r="C1" s="32" t="s">
        <v>363</v>
      </c>
      <c r="D1" s="32" t="s">
        <v>364</v>
      </c>
      <c r="E1" s="20" t="s">
        <v>387</v>
      </c>
      <c r="F1" s="32" t="s">
        <v>347</v>
      </c>
      <c r="G1" s="32" t="s">
        <v>346</v>
      </c>
    </row>
    <row r="2" spans="1:7" ht="14.4">
      <c r="A2" s="19" t="s">
        <v>365</v>
      </c>
      <c r="B2" s="293">
        <f>ROUND(SUMIF(其他债权投资明细表!B:B,A2,其他债权投资明细表!G:G),2)</f>
        <v>0</v>
      </c>
      <c r="C2" s="293">
        <f>ROUND(SUMIF(其他债权投资明细表!B:B,A2,其他债权投资明细表!H:H),2)</f>
        <v>0</v>
      </c>
      <c r="D2" s="293">
        <f>ROUND(SUMIF(其他债权投资明细表!B:B,A2,其他债权投资明细表!I:I),2)</f>
        <v>0</v>
      </c>
      <c r="E2" s="293">
        <f>ROUND(SUMIF(其他债权投资明细表!B:B,A2,其他债权投资明细表!J:J),2)</f>
        <v>0</v>
      </c>
      <c r="F2" s="68">
        <f>ROUND(SUM(B2:E2),2)</f>
        <v>0</v>
      </c>
      <c r="G2" s="293">
        <f>ROUND(SUMIF(其他债权投资减值准备明细表!B:B,A2,其他债权投资减值准备明细表!E:E),2)</f>
        <v>0</v>
      </c>
    </row>
    <row r="3" spans="1:7" ht="14.4">
      <c r="A3" s="19" t="s">
        <v>366</v>
      </c>
      <c r="B3" s="293">
        <f>ROUND(SUMIF(其他债权投资明细表!B:B,A3,其他债权投资明细表!G:G),2)</f>
        <v>0</v>
      </c>
      <c r="C3" s="293">
        <f>ROUND(SUMIF(其他债权投资明细表!B:B,A3,其他债权投资明细表!H:H),2)</f>
        <v>0</v>
      </c>
      <c r="D3" s="293">
        <f>ROUND(SUMIF(其他债权投资明细表!B:B,A3,其他债权投资明细表!I:I),2)</f>
        <v>0</v>
      </c>
      <c r="E3" s="293">
        <f>ROUND(SUMIF(其他债权投资明细表!B:B,A3,其他债权投资明细表!J:J),2)</f>
        <v>0</v>
      </c>
      <c r="F3" s="68">
        <f>ROUND(SUM(B3:E3),2)</f>
        <v>0</v>
      </c>
      <c r="G3" s="293">
        <f>ROUND(SUMIF(其他债权投资减值准备明细表!B:B,A3,其他债权投资减值准备明细表!E:E),2)</f>
        <v>0</v>
      </c>
    </row>
    <row r="4" spans="1:7" ht="14.4">
      <c r="A4" s="19" t="s">
        <v>367</v>
      </c>
      <c r="B4" s="293">
        <f>ROUND(SUMIF(其他债权投资明细表!B:B,A4,其他债权投资明细表!G:G),2)</f>
        <v>0</v>
      </c>
      <c r="C4" s="293">
        <f>ROUND(SUMIF(其他债权投资明细表!B:B,A4,其他债权投资明细表!H:H),2)</f>
        <v>0</v>
      </c>
      <c r="D4" s="293">
        <f>ROUND(SUMIF(其他债权投资明细表!B:B,A4,其他债权投资明细表!I:I),2)</f>
        <v>0</v>
      </c>
      <c r="E4" s="293">
        <f>ROUND(SUMIF(其他债权投资明细表!B:B,A4,其他债权投资明细表!J:J),2)</f>
        <v>0</v>
      </c>
      <c r="F4" s="68">
        <f>ROUND(SUM(B4:E4),2)</f>
        <v>0</v>
      </c>
      <c r="G4" s="293">
        <f>ROUND(SUMIF(其他债权投资减值准备明细表!B:B,A4,其他债权投资减值准备明细表!E:E),2)</f>
        <v>0</v>
      </c>
    </row>
    <row r="5" spans="1:7" ht="14.4">
      <c r="A5" s="19" t="s">
        <v>13</v>
      </c>
      <c r="B5" s="293">
        <f>ROUND(SUMIF(其他债权投资明细表!B:B,A5,其他债权投资明细表!G:G),2)</f>
        <v>0</v>
      </c>
      <c r="C5" s="293">
        <f>ROUND(SUMIF(其他债权投资明细表!B:B,A5,其他债权投资明细表!H:H),2)</f>
        <v>0</v>
      </c>
      <c r="D5" s="293">
        <f>ROUND(SUMIF(其他债权投资明细表!B:B,A5,其他债权投资明细表!I:I),2)</f>
        <v>0</v>
      </c>
      <c r="E5" s="293">
        <f>ROUND(SUMIF(其他债权投资明细表!B:B,A5,其他债权投资明细表!J:J),2)</f>
        <v>0</v>
      </c>
      <c r="F5" s="68">
        <f>ROUND(SUM(B5:E5),2)</f>
        <v>0</v>
      </c>
      <c r="G5" s="293">
        <f>ROUND(SUMIF(其他债权投资减值准备明细表!B:B,A5,其他债权投资减值准备明细表!E:E),2)</f>
        <v>0</v>
      </c>
    </row>
    <row r="6" spans="1:7" ht="14.4">
      <c r="A6" s="31" t="s">
        <v>204</v>
      </c>
      <c r="B6" s="68">
        <f t="shared" ref="B6:G6" si="0">ROUND(SUM(B2:B5),2)</f>
        <v>0</v>
      </c>
      <c r="C6" s="68">
        <f t="shared" si="0"/>
        <v>0</v>
      </c>
      <c r="D6" s="68">
        <f t="shared" si="0"/>
        <v>0</v>
      </c>
      <c r="E6" s="68">
        <f t="shared" si="0"/>
        <v>0</v>
      </c>
      <c r="F6" s="68">
        <f t="shared" si="0"/>
        <v>0</v>
      </c>
      <c r="G6" s="68">
        <f t="shared" si="0"/>
        <v>0</v>
      </c>
    </row>
  </sheetData>
  <phoneticPr fontId="1" type="noConversion"/>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AE7D-FD36-4ADB-AE9D-BB2F4EB9527C}">
  <sheetPr codeName="Sheet167"/>
  <dimension ref="A1:AF18"/>
  <sheetViews>
    <sheetView workbookViewId="0">
      <selection activeCell="A6" sqref="A6"/>
    </sheetView>
  </sheetViews>
  <sheetFormatPr defaultRowHeight="13.8"/>
  <cols>
    <col min="4" max="5" width="13.88671875" bestFit="1" customWidth="1"/>
    <col min="6" max="6" width="11.6640625" bestFit="1" customWidth="1"/>
    <col min="7" max="9" width="13.88671875" bestFit="1" customWidth="1"/>
    <col min="10" max="10" width="18.33203125" bestFit="1" customWidth="1"/>
    <col min="11" max="11" width="15.109375" style="229" bestFit="1" customWidth="1"/>
    <col min="12" max="12" width="13.88671875" bestFit="1" customWidth="1"/>
    <col min="13" max="13" width="9.5546875" bestFit="1" customWidth="1"/>
    <col min="14" max="15" width="13.88671875" bestFit="1" customWidth="1"/>
    <col min="16" max="16" width="13.88671875" customWidth="1"/>
    <col min="17" max="19" width="13.88671875" style="229" bestFit="1" customWidth="1"/>
    <col min="20" max="20" width="13.88671875" style="229" customWidth="1"/>
    <col min="21" max="21" width="13.88671875" style="229" bestFit="1" customWidth="1"/>
    <col min="22" max="25" width="13.88671875" style="229" customWidth="1"/>
    <col min="26" max="26" width="15.109375" style="256" bestFit="1" customWidth="1"/>
    <col min="27" max="31" width="8.88671875" style="256"/>
    <col min="32" max="32" width="8.88671875" style="259"/>
  </cols>
  <sheetData>
    <row r="1" spans="1:31">
      <c r="A1" t="s">
        <v>2383</v>
      </c>
      <c r="B1" t="s">
        <v>3476</v>
      </c>
      <c r="C1" t="s">
        <v>3477</v>
      </c>
      <c r="D1" t="s">
        <v>3478</v>
      </c>
      <c r="E1" t="s">
        <v>3479</v>
      </c>
      <c r="F1" t="s">
        <v>3480</v>
      </c>
      <c r="G1" t="s">
        <v>3481</v>
      </c>
      <c r="H1" t="s">
        <v>3482</v>
      </c>
      <c r="I1" t="s">
        <v>3483</v>
      </c>
      <c r="J1" t="s">
        <v>3503</v>
      </c>
      <c r="K1" s="229" t="s">
        <v>217</v>
      </c>
      <c r="L1" t="s">
        <v>3484</v>
      </c>
      <c r="M1" t="s">
        <v>3485</v>
      </c>
      <c r="N1" t="s">
        <v>3486</v>
      </c>
      <c r="O1" t="s">
        <v>3487</v>
      </c>
      <c r="P1" t="s">
        <v>3501</v>
      </c>
      <c r="Q1" s="229" t="s">
        <v>3488</v>
      </c>
      <c r="R1" s="229" t="s">
        <v>3489</v>
      </c>
      <c r="S1" s="229" t="s">
        <v>3490</v>
      </c>
      <c r="T1" s="229" t="s">
        <v>3502</v>
      </c>
      <c r="U1" s="229" t="s">
        <v>214</v>
      </c>
      <c r="V1" t="s">
        <v>3491</v>
      </c>
      <c r="W1" t="s">
        <v>3492</v>
      </c>
      <c r="X1" t="s">
        <v>3493</v>
      </c>
      <c r="Y1" t="s">
        <v>3494</v>
      </c>
      <c r="Z1" s="259"/>
      <c r="AA1" s="259"/>
      <c r="AB1" s="259"/>
      <c r="AC1" s="259"/>
      <c r="AD1" s="259"/>
      <c r="AE1" s="259"/>
    </row>
    <row r="2" spans="1:31">
      <c r="A2" s="229" t="str">
        <f>IF(OR(K2&gt;0,U2&gt;0),基础信息!$B$1,"")</f>
        <v/>
      </c>
      <c r="B2" s="276"/>
      <c r="C2" s="255"/>
      <c r="D2" s="255"/>
      <c r="E2" s="255"/>
      <c r="F2" s="255"/>
      <c r="G2" s="255"/>
      <c r="H2" s="255"/>
      <c r="I2" s="255"/>
      <c r="J2" s="255"/>
      <c r="K2" s="229">
        <f>G2+H2+I2+J2</f>
        <v>0</v>
      </c>
      <c r="L2" s="255"/>
      <c r="M2" s="255"/>
      <c r="N2" s="255"/>
      <c r="O2" s="255"/>
      <c r="P2" s="255"/>
      <c r="Q2" s="229">
        <f>G2+L2-M2</f>
        <v>0</v>
      </c>
      <c r="R2" s="229">
        <f>H2+N2</f>
        <v>0</v>
      </c>
      <c r="S2" s="229">
        <f>I2+O2</f>
        <v>0</v>
      </c>
      <c r="T2" s="229">
        <f>J2+P2</f>
        <v>0</v>
      </c>
      <c r="U2" s="229">
        <f>Q2+R2+S2+T2</f>
        <v>0</v>
      </c>
      <c r="V2" s="288"/>
      <c r="W2" s="288"/>
      <c r="X2" s="288"/>
      <c r="Y2" s="288"/>
    </row>
    <row r="3" spans="1:31">
      <c r="A3" s="229" t="str">
        <f>IF(OR(K3&gt;0,U3&gt;0),基础信息!$B$1,"")</f>
        <v/>
      </c>
      <c r="B3" s="276"/>
      <c r="C3" s="255"/>
      <c r="D3" s="255"/>
      <c r="E3" s="255"/>
      <c r="F3" s="255"/>
      <c r="G3" s="255"/>
      <c r="H3" s="255"/>
      <c r="I3" s="255"/>
      <c r="J3" s="255"/>
      <c r="K3" s="229">
        <f t="shared" ref="K3:K18" si="0">G3+H3+I3+J3</f>
        <v>0</v>
      </c>
      <c r="L3" s="255"/>
      <c r="M3" s="255"/>
      <c r="N3" s="255"/>
      <c r="O3" s="255"/>
      <c r="P3" s="255"/>
      <c r="Q3" s="229">
        <f t="shared" ref="Q3:Q18" si="1">G3+L3-M3</f>
        <v>0</v>
      </c>
      <c r="R3" s="229">
        <f t="shared" ref="R3:R18" si="2">H3+N3</f>
        <v>0</v>
      </c>
      <c r="S3" s="229">
        <f t="shared" ref="S3:S18" si="3">I3+O3</f>
        <v>0</v>
      </c>
      <c r="T3" s="229">
        <f t="shared" ref="T3:T18" si="4">J3+P3</f>
        <v>0</v>
      </c>
      <c r="U3" s="229">
        <f t="shared" ref="U3:U18" si="5">Q3+R3+S3+T3</f>
        <v>0</v>
      </c>
      <c r="V3" s="288"/>
      <c r="W3" s="288"/>
      <c r="X3" s="288"/>
      <c r="Y3" s="288"/>
    </row>
    <row r="4" spans="1:31">
      <c r="A4" s="229" t="str">
        <f>IF(OR(K4&gt;0,U4&gt;0),基础信息!$B$1,"")</f>
        <v/>
      </c>
      <c r="B4" s="276"/>
      <c r="C4" s="255"/>
      <c r="D4" s="255"/>
      <c r="E4" s="255"/>
      <c r="F4" s="255"/>
      <c r="G4" s="255"/>
      <c r="H4" s="255"/>
      <c r="I4" s="255"/>
      <c r="J4" s="255"/>
      <c r="K4" s="229">
        <f t="shared" si="0"/>
        <v>0</v>
      </c>
      <c r="L4" s="255"/>
      <c r="M4" s="255"/>
      <c r="N4" s="255"/>
      <c r="O4" s="255"/>
      <c r="P4" s="255"/>
      <c r="Q4" s="229">
        <f t="shared" si="1"/>
        <v>0</v>
      </c>
      <c r="R4" s="229">
        <f t="shared" si="2"/>
        <v>0</v>
      </c>
      <c r="S4" s="229">
        <f t="shared" si="3"/>
        <v>0</v>
      </c>
      <c r="T4" s="229">
        <f t="shared" si="4"/>
        <v>0</v>
      </c>
      <c r="U4" s="229">
        <f t="shared" si="5"/>
        <v>0</v>
      </c>
      <c r="V4" s="288"/>
      <c r="W4" s="288"/>
      <c r="X4" s="288"/>
      <c r="Y4" s="288"/>
    </row>
    <row r="5" spans="1:31">
      <c r="A5" s="229" t="str">
        <f>IF(OR(K5&gt;0,U5&gt;0),基础信息!$B$1,"")</f>
        <v/>
      </c>
      <c r="B5" s="276"/>
      <c r="C5" s="255"/>
      <c r="D5" s="255"/>
      <c r="E5" s="255"/>
      <c r="F5" s="255"/>
      <c r="G5" s="255"/>
      <c r="H5" s="255"/>
      <c r="I5" s="255"/>
      <c r="J5" s="255"/>
      <c r="K5" s="229">
        <f t="shared" si="0"/>
        <v>0</v>
      </c>
      <c r="L5" s="255"/>
      <c r="M5" s="255"/>
      <c r="N5" s="255"/>
      <c r="O5" s="255"/>
      <c r="P5" s="255"/>
      <c r="Q5" s="229">
        <f t="shared" si="1"/>
        <v>0</v>
      </c>
      <c r="R5" s="229">
        <f t="shared" si="2"/>
        <v>0</v>
      </c>
      <c r="S5" s="229">
        <f t="shared" si="3"/>
        <v>0</v>
      </c>
      <c r="T5" s="229">
        <f t="shared" si="4"/>
        <v>0</v>
      </c>
      <c r="U5" s="229">
        <f t="shared" si="5"/>
        <v>0</v>
      </c>
      <c r="V5" s="288"/>
      <c r="W5" s="288"/>
      <c r="X5" s="288"/>
      <c r="Y5" s="288"/>
    </row>
    <row r="6" spans="1:31">
      <c r="A6" s="229" t="str">
        <f>IF(OR(K6&gt;0,U6&gt;0),基础信息!$B$1,"")</f>
        <v/>
      </c>
      <c r="B6" s="276"/>
      <c r="C6" s="255"/>
      <c r="D6" s="255"/>
      <c r="E6" s="255"/>
      <c r="F6" s="255"/>
      <c r="G6" s="255"/>
      <c r="H6" s="255"/>
      <c r="I6" s="255"/>
      <c r="J6" s="255"/>
      <c r="K6" s="229">
        <f t="shared" si="0"/>
        <v>0</v>
      </c>
      <c r="L6" s="255"/>
      <c r="M6" s="255"/>
      <c r="N6" s="255"/>
      <c r="O6" s="255"/>
      <c r="P6" s="255"/>
      <c r="Q6" s="229">
        <f t="shared" si="1"/>
        <v>0</v>
      </c>
      <c r="R6" s="229">
        <f t="shared" si="2"/>
        <v>0</v>
      </c>
      <c r="S6" s="229">
        <f t="shared" si="3"/>
        <v>0</v>
      </c>
      <c r="T6" s="229">
        <f t="shared" si="4"/>
        <v>0</v>
      </c>
      <c r="U6" s="229">
        <f t="shared" si="5"/>
        <v>0</v>
      </c>
      <c r="V6" s="288"/>
      <c r="W6" s="288"/>
      <c r="X6" s="288"/>
      <c r="Y6" s="288"/>
    </row>
    <row r="7" spans="1:31">
      <c r="A7" s="229" t="str">
        <f>IF(OR(K7&gt;0,U7&gt;0),基础信息!$B$1,"")</f>
        <v/>
      </c>
      <c r="B7" s="276"/>
      <c r="C7" s="255"/>
      <c r="D7" s="255"/>
      <c r="E7" s="255"/>
      <c r="F7" s="255"/>
      <c r="G7" s="255"/>
      <c r="H7" s="255"/>
      <c r="I7" s="255"/>
      <c r="J7" s="255"/>
      <c r="K7" s="229">
        <f t="shared" si="0"/>
        <v>0</v>
      </c>
      <c r="L7" s="255"/>
      <c r="M7" s="255"/>
      <c r="N7" s="255"/>
      <c r="O7" s="255"/>
      <c r="P7" s="255"/>
      <c r="Q7" s="229">
        <f t="shared" si="1"/>
        <v>0</v>
      </c>
      <c r="R7" s="229">
        <f t="shared" si="2"/>
        <v>0</v>
      </c>
      <c r="S7" s="229">
        <f t="shared" si="3"/>
        <v>0</v>
      </c>
      <c r="T7" s="229">
        <f t="shared" si="4"/>
        <v>0</v>
      </c>
      <c r="U7" s="229">
        <f t="shared" si="5"/>
        <v>0</v>
      </c>
      <c r="V7" s="288"/>
      <c r="W7" s="288"/>
      <c r="X7" s="288"/>
      <c r="Y7" s="288"/>
    </row>
    <row r="8" spans="1:31">
      <c r="A8" s="229" t="str">
        <f>IF(OR(K8&gt;0,U8&gt;0),基础信息!$B$1,"")</f>
        <v/>
      </c>
      <c r="B8" s="276"/>
      <c r="C8" s="255"/>
      <c r="D8" s="255"/>
      <c r="E8" s="255"/>
      <c r="F8" s="255"/>
      <c r="G8" s="255"/>
      <c r="H8" s="255"/>
      <c r="I8" s="255"/>
      <c r="J8" s="255"/>
      <c r="K8" s="229">
        <f t="shared" si="0"/>
        <v>0</v>
      </c>
      <c r="L8" s="255"/>
      <c r="M8" s="255"/>
      <c r="N8" s="255"/>
      <c r="O8" s="255"/>
      <c r="P8" s="255"/>
      <c r="Q8" s="229">
        <f t="shared" si="1"/>
        <v>0</v>
      </c>
      <c r="R8" s="229">
        <f t="shared" si="2"/>
        <v>0</v>
      </c>
      <c r="S8" s="229">
        <f t="shared" si="3"/>
        <v>0</v>
      </c>
      <c r="T8" s="229">
        <f t="shared" si="4"/>
        <v>0</v>
      </c>
      <c r="U8" s="229">
        <f t="shared" si="5"/>
        <v>0</v>
      </c>
      <c r="V8" s="288"/>
      <c r="W8" s="288"/>
      <c r="X8" s="288"/>
      <c r="Y8" s="288"/>
    </row>
    <row r="9" spans="1:31">
      <c r="A9" s="229" t="str">
        <f>IF(OR(K9&gt;0,U9&gt;0),基础信息!$B$1,"")</f>
        <v/>
      </c>
      <c r="B9" s="276"/>
      <c r="C9" s="255"/>
      <c r="D9" s="255"/>
      <c r="E9" s="255"/>
      <c r="F9" s="255"/>
      <c r="G9" s="255"/>
      <c r="H9" s="255"/>
      <c r="I9" s="255"/>
      <c r="J9" s="255"/>
      <c r="K9" s="229">
        <f t="shared" si="0"/>
        <v>0</v>
      </c>
      <c r="L9" s="255"/>
      <c r="M9" s="255"/>
      <c r="N9" s="255"/>
      <c r="O9" s="255"/>
      <c r="P9" s="255"/>
      <c r="Q9" s="229">
        <f t="shared" si="1"/>
        <v>0</v>
      </c>
      <c r="R9" s="229">
        <f t="shared" si="2"/>
        <v>0</v>
      </c>
      <c r="S9" s="229">
        <f t="shared" si="3"/>
        <v>0</v>
      </c>
      <c r="T9" s="229">
        <f t="shared" si="4"/>
        <v>0</v>
      </c>
      <c r="U9" s="229">
        <f t="shared" si="5"/>
        <v>0</v>
      </c>
      <c r="V9" s="288"/>
      <c r="W9" s="288"/>
      <c r="X9" s="288"/>
      <c r="Y9" s="288"/>
    </row>
    <row r="10" spans="1:31">
      <c r="A10" s="229" t="str">
        <f>IF(OR(K10&gt;0,U10&gt;0),基础信息!$B$1,"")</f>
        <v/>
      </c>
      <c r="B10" s="276"/>
      <c r="C10" s="255"/>
      <c r="D10" s="255"/>
      <c r="E10" s="255"/>
      <c r="F10" s="255"/>
      <c r="G10" s="255"/>
      <c r="H10" s="255"/>
      <c r="I10" s="255"/>
      <c r="J10" s="255"/>
      <c r="K10" s="229">
        <f t="shared" si="0"/>
        <v>0</v>
      </c>
      <c r="L10" s="255"/>
      <c r="M10" s="255"/>
      <c r="N10" s="255"/>
      <c r="O10" s="255"/>
      <c r="P10" s="255"/>
      <c r="Q10" s="229">
        <f t="shared" si="1"/>
        <v>0</v>
      </c>
      <c r="R10" s="229">
        <f t="shared" si="2"/>
        <v>0</v>
      </c>
      <c r="S10" s="229">
        <f t="shared" si="3"/>
        <v>0</v>
      </c>
      <c r="T10" s="229">
        <f t="shared" si="4"/>
        <v>0</v>
      </c>
      <c r="U10" s="229">
        <f t="shared" si="5"/>
        <v>0</v>
      </c>
      <c r="V10" s="288"/>
      <c r="W10" s="288"/>
      <c r="X10" s="288"/>
      <c r="Y10" s="288"/>
    </row>
    <row r="11" spans="1:31">
      <c r="A11" s="229" t="str">
        <f>IF(OR(K11&gt;0,U11&gt;0),基础信息!$B$1,"")</f>
        <v/>
      </c>
      <c r="B11" s="276"/>
      <c r="C11" s="255"/>
      <c r="D11" s="255"/>
      <c r="E11" s="255"/>
      <c r="F11" s="255"/>
      <c r="G11" s="255"/>
      <c r="H11" s="255"/>
      <c r="I11" s="255"/>
      <c r="J11" s="255"/>
      <c r="K11" s="229">
        <f t="shared" si="0"/>
        <v>0</v>
      </c>
      <c r="L11" s="255"/>
      <c r="M11" s="255"/>
      <c r="N11" s="255"/>
      <c r="O11" s="255"/>
      <c r="P11" s="255"/>
      <c r="Q11" s="229">
        <f t="shared" si="1"/>
        <v>0</v>
      </c>
      <c r="R11" s="229">
        <f t="shared" si="2"/>
        <v>0</v>
      </c>
      <c r="S11" s="229">
        <f t="shared" si="3"/>
        <v>0</v>
      </c>
      <c r="T11" s="229">
        <f t="shared" si="4"/>
        <v>0</v>
      </c>
      <c r="U11" s="229">
        <f t="shared" si="5"/>
        <v>0</v>
      </c>
      <c r="V11" s="288"/>
      <c r="W11" s="288"/>
      <c r="X11" s="288"/>
      <c r="Y11" s="288"/>
    </row>
    <row r="12" spans="1:31">
      <c r="A12" s="229" t="str">
        <f>IF(OR(K12&gt;0,U12&gt;0),基础信息!$B$1,"")</f>
        <v/>
      </c>
      <c r="B12" s="276"/>
      <c r="C12" s="255"/>
      <c r="D12" s="255"/>
      <c r="E12" s="255"/>
      <c r="F12" s="255"/>
      <c r="G12" s="255"/>
      <c r="H12" s="255"/>
      <c r="I12" s="255"/>
      <c r="J12" s="255"/>
      <c r="K12" s="229">
        <f t="shared" si="0"/>
        <v>0</v>
      </c>
      <c r="L12" s="255"/>
      <c r="M12" s="255"/>
      <c r="N12" s="255"/>
      <c r="O12" s="255"/>
      <c r="P12" s="255"/>
      <c r="Q12" s="229">
        <f t="shared" si="1"/>
        <v>0</v>
      </c>
      <c r="R12" s="229">
        <f t="shared" si="2"/>
        <v>0</v>
      </c>
      <c r="S12" s="229">
        <f t="shared" si="3"/>
        <v>0</v>
      </c>
      <c r="T12" s="229">
        <f t="shared" si="4"/>
        <v>0</v>
      </c>
      <c r="U12" s="229">
        <f t="shared" si="5"/>
        <v>0</v>
      </c>
      <c r="V12" s="288"/>
      <c r="W12" s="288"/>
      <c r="X12" s="288"/>
      <c r="Y12" s="288"/>
    </row>
    <row r="13" spans="1:31">
      <c r="A13" s="229" t="str">
        <f>IF(OR(K13&gt;0,U13&gt;0),基础信息!$B$1,"")</f>
        <v/>
      </c>
      <c r="B13" s="276"/>
      <c r="C13" s="255"/>
      <c r="D13" s="255"/>
      <c r="E13" s="255"/>
      <c r="F13" s="255"/>
      <c r="G13" s="255"/>
      <c r="H13" s="255"/>
      <c r="I13" s="255"/>
      <c r="J13" s="255"/>
      <c r="K13" s="229">
        <f t="shared" si="0"/>
        <v>0</v>
      </c>
      <c r="L13" s="255"/>
      <c r="M13" s="255"/>
      <c r="N13" s="255"/>
      <c r="O13" s="255"/>
      <c r="P13" s="255"/>
      <c r="Q13" s="229">
        <f t="shared" si="1"/>
        <v>0</v>
      </c>
      <c r="R13" s="229">
        <f t="shared" si="2"/>
        <v>0</v>
      </c>
      <c r="S13" s="229">
        <f t="shared" si="3"/>
        <v>0</v>
      </c>
      <c r="T13" s="229">
        <f t="shared" si="4"/>
        <v>0</v>
      </c>
      <c r="U13" s="229">
        <f t="shared" si="5"/>
        <v>0</v>
      </c>
      <c r="V13" s="288"/>
      <c r="W13" s="288"/>
      <c r="X13" s="288"/>
      <c r="Y13" s="288"/>
    </row>
    <row r="14" spans="1:31">
      <c r="A14" s="229" t="str">
        <f>IF(OR(K14&gt;0,U14&gt;0),基础信息!$B$1,"")</f>
        <v/>
      </c>
      <c r="B14" s="276"/>
      <c r="C14" s="255"/>
      <c r="D14" s="255"/>
      <c r="E14" s="255"/>
      <c r="F14" s="255"/>
      <c r="G14" s="255"/>
      <c r="H14" s="255"/>
      <c r="I14" s="255"/>
      <c r="J14" s="255"/>
      <c r="K14" s="229">
        <f t="shared" si="0"/>
        <v>0</v>
      </c>
      <c r="L14" s="255"/>
      <c r="M14" s="255"/>
      <c r="N14" s="255"/>
      <c r="O14" s="255"/>
      <c r="P14" s="255"/>
      <c r="Q14" s="229">
        <f t="shared" si="1"/>
        <v>0</v>
      </c>
      <c r="R14" s="229">
        <f t="shared" si="2"/>
        <v>0</v>
      </c>
      <c r="S14" s="229">
        <f t="shared" si="3"/>
        <v>0</v>
      </c>
      <c r="T14" s="229">
        <f t="shared" si="4"/>
        <v>0</v>
      </c>
      <c r="U14" s="229">
        <f t="shared" si="5"/>
        <v>0</v>
      </c>
      <c r="V14" s="288"/>
      <c r="W14" s="288"/>
      <c r="X14" s="288"/>
      <c r="Y14" s="288"/>
    </row>
    <row r="15" spans="1:31">
      <c r="A15" s="229" t="str">
        <f>IF(OR(K15&gt;0,U15&gt;0),基础信息!$B$1,"")</f>
        <v/>
      </c>
      <c r="B15" s="276"/>
      <c r="C15" s="255"/>
      <c r="D15" s="255"/>
      <c r="E15" s="255"/>
      <c r="F15" s="255"/>
      <c r="G15" s="255"/>
      <c r="H15" s="255"/>
      <c r="I15" s="255"/>
      <c r="J15" s="255"/>
      <c r="K15" s="229">
        <f t="shared" si="0"/>
        <v>0</v>
      </c>
      <c r="L15" s="255"/>
      <c r="M15" s="255"/>
      <c r="N15" s="255"/>
      <c r="O15" s="255"/>
      <c r="P15" s="255"/>
      <c r="Q15" s="229">
        <f t="shared" si="1"/>
        <v>0</v>
      </c>
      <c r="R15" s="229">
        <f t="shared" si="2"/>
        <v>0</v>
      </c>
      <c r="S15" s="229">
        <f t="shared" si="3"/>
        <v>0</v>
      </c>
      <c r="T15" s="229">
        <f t="shared" si="4"/>
        <v>0</v>
      </c>
      <c r="U15" s="229">
        <f t="shared" si="5"/>
        <v>0</v>
      </c>
      <c r="V15" s="288"/>
      <c r="W15" s="288"/>
      <c r="X15" s="288"/>
      <c r="Y15" s="288"/>
    </row>
    <row r="16" spans="1:31">
      <c r="A16" s="229" t="str">
        <f>IF(OR(K16&gt;0,U16&gt;0),基础信息!$B$1,"")</f>
        <v/>
      </c>
      <c r="B16" s="276"/>
      <c r="C16" s="255"/>
      <c r="D16" s="255"/>
      <c r="E16" s="255"/>
      <c r="F16" s="255"/>
      <c r="G16" s="255"/>
      <c r="H16" s="255"/>
      <c r="I16" s="255"/>
      <c r="J16" s="255"/>
      <c r="K16" s="229">
        <f t="shared" si="0"/>
        <v>0</v>
      </c>
      <c r="L16" s="255"/>
      <c r="M16" s="255"/>
      <c r="N16" s="255"/>
      <c r="O16" s="255"/>
      <c r="P16" s="255"/>
      <c r="Q16" s="229">
        <f t="shared" si="1"/>
        <v>0</v>
      </c>
      <c r="R16" s="229">
        <f t="shared" si="2"/>
        <v>0</v>
      </c>
      <c r="S16" s="229">
        <f t="shared" si="3"/>
        <v>0</v>
      </c>
      <c r="T16" s="229">
        <f t="shared" si="4"/>
        <v>0</v>
      </c>
      <c r="U16" s="229">
        <f t="shared" si="5"/>
        <v>0</v>
      </c>
      <c r="V16" s="288"/>
      <c r="W16" s="288"/>
      <c r="X16" s="288"/>
      <c r="Y16" s="288"/>
    </row>
    <row r="17" spans="1:25">
      <c r="A17" s="229" t="str">
        <f>IF(OR(K17&gt;0,U17&gt;0),基础信息!$B$1,"")</f>
        <v/>
      </c>
      <c r="B17" s="276"/>
      <c r="C17" s="255"/>
      <c r="D17" s="255"/>
      <c r="E17" s="255"/>
      <c r="F17" s="255"/>
      <c r="G17" s="255"/>
      <c r="H17" s="255"/>
      <c r="I17" s="255"/>
      <c r="J17" s="255"/>
      <c r="K17" s="229">
        <f t="shared" si="0"/>
        <v>0</v>
      </c>
      <c r="L17" s="255"/>
      <c r="M17" s="255"/>
      <c r="N17" s="255"/>
      <c r="O17" s="255"/>
      <c r="P17" s="255"/>
      <c r="Q17" s="229">
        <f t="shared" si="1"/>
        <v>0</v>
      </c>
      <c r="R17" s="229">
        <f t="shared" si="2"/>
        <v>0</v>
      </c>
      <c r="S17" s="229">
        <f t="shared" si="3"/>
        <v>0</v>
      </c>
      <c r="T17" s="229">
        <f t="shared" si="4"/>
        <v>0</v>
      </c>
      <c r="U17" s="229">
        <f t="shared" si="5"/>
        <v>0</v>
      </c>
      <c r="V17" s="288"/>
      <c r="W17" s="288"/>
      <c r="X17" s="288"/>
      <c r="Y17" s="288"/>
    </row>
    <row r="18" spans="1:25">
      <c r="A18" s="229" t="str">
        <f>IF(OR(K18&gt;0,U18&gt;0),基础信息!$B$1,"")</f>
        <v/>
      </c>
      <c r="B18" s="276"/>
      <c r="C18" s="255"/>
      <c r="D18" s="255"/>
      <c r="E18" s="255"/>
      <c r="F18" s="255"/>
      <c r="G18" s="255"/>
      <c r="H18" s="255"/>
      <c r="I18" s="255"/>
      <c r="J18" s="255"/>
      <c r="K18" s="229">
        <f t="shared" si="0"/>
        <v>0</v>
      </c>
      <c r="L18" s="255"/>
      <c r="M18" s="255"/>
      <c r="N18" s="255"/>
      <c r="O18" s="255"/>
      <c r="P18" s="255"/>
      <c r="Q18" s="229">
        <f t="shared" si="1"/>
        <v>0</v>
      </c>
      <c r="R18" s="229">
        <f t="shared" si="2"/>
        <v>0</v>
      </c>
      <c r="S18" s="229">
        <f t="shared" si="3"/>
        <v>0</v>
      </c>
      <c r="T18" s="229">
        <f t="shared" si="4"/>
        <v>0</v>
      </c>
      <c r="U18" s="229">
        <f t="shared" si="5"/>
        <v>0</v>
      </c>
      <c r="V18" s="288"/>
      <c r="W18" s="288"/>
      <c r="X18" s="288"/>
      <c r="Y18" s="28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196671-1F12-4E55-A790-FEF5266D30C9}">
          <x14:formula1>
            <xm:f>分类表!$93:$93</xm:f>
          </x14:formula1>
          <xm:sqref>B2:B18</xm:sqref>
        </x14:dataValidation>
      </x14:dataValidations>
    </ext>
  </extLst>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3075-141F-4A6F-9E09-A0E083316C96}">
  <sheetPr codeName="Sheet168">
    <tabColor rgb="FFFFC000"/>
  </sheetPr>
  <dimension ref="A1:E13"/>
  <sheetViews>
    <sheetView workbookViewId="0">
      <selection activeCell="H15" sqref="H15"/>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297</v>
      </c>
      <c r="C1" s="18" t="s">
        <v>298</v>
      </c>
      <c r="D1" s="18" t="s">
        <v>299</v>
      </c>
      <c r="E1" s="18" t="s">
        <v>204</v>
      </c>
    </row>
    <row r="2" spans="1:5">
      <c r="A2" s="18" t="s">
        <v>246</v>
      </c>
      <c r="B2" s="138">
        <f>ROUND(SUMIF(其他债权投资减值准备明细表!$C:$C,其他债权投资减值准备!B$1,其他债权投资减值准备明细表!$D:$D),2)</f>
        <v>0</v>
      </c>
      <c r="C2" s="138">
        <f>ROUND(SUMIF(其他债权投资减值准备明细表!$C:$C,其他债权投资减值准备!C$1,其他债权投资减值准备明细表!$D:$D),2)</f>
        <v>0</v>
      </c>
      <c r="D2" s="138">
        <f>ROUND(SUMIF(其他债权投资减值准备明细表!$C:$C,其他债权投资减值准备!D$1,其他债权投资减值准备明细表!$D:$D),2)</f>
        <v>0</v>
      </c>
      <c r="E2" s="133">
        <f t="shared" ref="E2:E12" si="0">ROUND(SUM(B2:D2),2)</f>
        <v>0</v>
      </c>
    </row>
    <row r="3" spans="1:5">
      <c r="A3" s="18" t="s">
        <v>305</v>
      </c>
      <c r="B3" s="138">
        <f>ROUND(SUMIF(其他债权投资减值准备明细表!$C:$C,其他债权投资减值准备!B$1,其他债权投资减值准备明细表!$E:$E),2)</f>
        <v>0</v>
      </c>
      <c r="C3" s="138">
        <f>ROUND(SUMIF(其他债权投资减值准备明细表!$C:$C,其他债权投资减值准备!C$1,其他债权投资减值准备明细表!$E:$E),2)</f>
        <v>0</v>
      </c>
      <c r="D3" s="138">
        <f>ROUND(SUMIF(其他债权投资减值准备明细表!$C:$C,其他债权投资减值准备!D$1,其他债权投资减值准备明细表!$E:$E),2)</f>
        <v>0</v>
      </c>
      <c r="E3" s="133">
        <f t="shared" si="0"/>
        <v>0</v>
      </c>
    </row>
    <row r="4" spans="1:5">
      <c r="A4" s="57" t="s">
        <v>306</v>
      </c>
      <c r="B4" s="138">
        <f>ROUND(SUMIF(其他债权投资减值准备明细表!$C:$C,其他债权投资减值准备!B$1,其他债权投资减值准备明细表!$F:$F),2)</f>
        <v>0</v>
      </c>
      <c r="C4" s="138">
        <f>ROUND(SUMIF(其他债权投资减值准备明细表!$C:$C,其他债权投资减值准备!C$1,其他债权投资减值准备明细表!$F:$F),2)</f>
        <v>0</v>
      </c>
      <c r="D4" s="138">
        <f>ROUND(SUMIF(其他债权投资减值准备明细表!$C:$C,其他债权投资减值准备!D$1,其他债权投资减值准备明细表!$F:$F),2)</f>
        <v>0</v>
      </c>
      <c r="E4" s="133">
        <f t="shared" si="0"/>
        <v>0</v>
      </c>
    </row>
    <row r="5" spans="1:5">
      <c r="A5" s="57" t="s">
        <v>307</v>
      </c>
      <c r="B5" s="138">
        <f>ROUND(SUMIF(其他债权投资减值准备明细表!$C:$C,其他债权投资减值准备!B$1,其他债权投资减值准备明细表!$G:$G),2)</f>
        <v>0</v>
      </c>
      <c r="C5" s="138">
        <f>ROUND(SUMIF(其他债权投资减值准备明细表!$C:$C,其他债权投资减值准备!C$1,其他债权投资减值准备明细表!$G:$G),2)</f>
        <v>0</v>
      </c>
      <c r="D5" s="138">
        <f>ROUND(SUMIF(其他债权投资减值准备明细表!$C:$C,其他债权投资减值准备!D$1,其他债权投资减值准备明细表!$G:$G),2)</f>
        <v>0</v>
      </c>
      <c r="E5" s="133">
        <f t="shared" si="0"/>
        <v>0</v>
      </c>
    </row>
    <row r="6" spans="1:5">
      <c r="A6" s="57" t="s">
        <v>308</v>
      </c>
      <c r="B6" s="138">
        <f>ROUND(SUMIF(其他债权投资减值准备明细表!$C:$C,其他债权投资减值准备!B$1,其他债权投资减值准备明细表!$H:$H),2)</f>
        <v>0</v>
      </c>
      <c r="C6" s="138">
        <f>ROUND(SUMIF(其他债权投资减值准备明细表!$C:$C,其他债权投资减值准备!C$1,其他债权投资减值准备明细表!$H:$H),2)</f>
        <v>0</v>
      </c>
      <c r="D6" s="138">
        <f>ROUND(SUMIF(其他债权投资减值准备明细表!$C:$C,其他债权投资减值准备!D$1,其他债权投资减值准备明细表!$H:$H),2)</f>
        <v>0</v>
      </c>
      <c r="E6" s="133">
        <f t="shared" si="0"/>
        <v>0</v>
      </c>
    </row>
    <row r="7" spans="1:5">
      <c r="A7" s="57" t="s">
        <v>309</v>
      </c>
      <c r="B7" s="138">
        <f>ROUND(SUMIF(其他债权投资减值准备明细表!$C:$C,其他债权投资减值准备!B$1,其他债权投资减值准备明细表!$I:$I),2)</f>
        <v>0</v>
      </c>
      <c r="C7" s="138">
        <f>ROUND(SUMIF(其他债权投资减值准备明细表!$C:$C,其他债权投资减值准备!C$1,其他债权投资减值准备明细表!$I:$I),2)</f>
        <v>0</v>
      </c>
      <c r="D7" s="138">
        <f>ROUND(SUMIF(其他债权投资减值准备明细表!$C:$C,其他债权投资减值准备!D$1,其他债权投资减值准备明细表!$I:$I),2)</f>
        <v>0</v>
      </c>
      <c r="E7" s="133">
        <f t="shared" si="0"/>
        <v>0</v>
      </c>
    </row>
    <row r="8" spans="1:5">
      <c r="A8" s="18" t="s">
        <v>300</v>
      </c>
      <c r="B8" s="138">
        <f>ROUND(SUMIF(其他债权投资减值准备明细表!$C:$C,其他债权投资减值准备!B$1,其他债权投资减值准备明细表!$J:$J),2)</f>
        <v>0</v>
      </c>
      <c r="C8" s="138">
        <f>ROUND(SUMIF(其他债权投资减值准备明细表!$C:$C,其他债权投资减值准备!C$1,其他债权投资减值准备明细表!$J:$J),2)</f>
        <v>0</v>
      </c>
      <c r="D8" s="138">
        <f>ROUND(SUMIF(其他债权投资减值准备明细表!$C:$C,其他债权投资减值准备!D$1,其他债权投资减值准备明细表!$J:$J),2)</f>
        <v>0</v>
      </c>
      <c r="E8" s="133">
        <f t="shared" si="0"/>
        <v>0</v>
      </c>
    </row>
    <row r="9" spans="1:5">
      <c r="A9" s="18" t="s">
        <v>301</v>
      </c>
      <c r="B9" s="138">
        <f>ROUND(SUMIF(其他债权投资减值准备明细表!$C:$C,其他债权投资减值准备!B$1,其他债权投资减值准备明细表!$K:$K),2)</f>
        <v>0</v>
      </c>
      <c r="C9" s="138">
        <f>ROUND(SUMIF(其他债权投资减值准备明细表!$C:$C,其他债权投资减值准备!C$1,其他债权投资减值准备明细表!$K:$K),2)</f>
        <v>0</v>
      </c>
      <c r="D9" s="138">
        <f>ROUND(SUMIF(其他债权投资减值准备明细表!$C:$C,其他债权投资减值准备!D$1,其他债权投资减值准备明细表!$K:$K),2)</f>
        <v>0</v>
      </c>
      <c r="E9" s="133">
        <f t="shared" si="0"/>
        <v>0</v>
      </c>
    </row>
    <row r="10" spans="1:5">
      <c r="A10" s="18" t="s">
        <v>302</v>
      </c>
      <c r="B10" s="138">
        <f>ROUND(SUMIF(其他债权投资减值准备明细表!$C:$C,其他债权投资减值准备!B$1,其他债权投资减值准备明细表!$L:$L),2)</f>
        <v>0</v>
      </c>
      <c r="C10" s="138">
        <f>ROUND(SUMIF(其他债权投资减值准备明细表!$C:$C,其他债权投资减值准备!C$1,其他债权投资减值准备明细表!$L:$L),2)</f>
        <v>0</v>
      </c>
      <c r="D10" s="138">
        <f>ROUND(SUMIF(其他债权投资减值准备明细表!$C:$C,其他债权投资减值准备!D$1,其他债权投资减值准备明细表!$L:$L),2)</f>
        <v>0</v>
      </c>
      <c r="E10" s="133">
        <f t="shared" si="0"/>
        <v>0</v>
      </c>
    </row>
    <row r="11" spans="1:5">
      <c r="A11" s="18" t="s">
        <v>303</v>
      </c>
      <c r="B11" s="138">
        <f>ROUND(SUMIF(其他债权投资减值准备明细表!$C:$C,其他债权投资减值准备!B$1,其他债权投资减值准备明细表!$M:$M),2)</f>
        <v>0</v>
      </c>
      <c r="C11" s="138">
        <f>ROUND(SUMIF(其他债权投资减值准备明细表!$C:$C,其他债权投资减值准备!C$1,其他债权投资减值准备明细表!$M:$M),2)</f>
        <v>0</v>
      </c>
      <c r="D11" s="138">
        <f>ROUND(SUMIF(其他债权投资减值准备明细表!$C:$C,其他债权投资减值准备!D$1,其他债权投资减值准备明细表!$M:$M),2)</f>
        <v>0</v>
      </c>
      <c r="E11" s="133">
        <f t="shared" si="0"/>
        <v>0</v>
      </c>
    </row>
    <row r="12" spans="1:5">
      <c r="A12" s="18" t="s">
        <v>304</v>
      </c>
      <c r="B12" s="138">
        <f>ROUND(SUMIF(其他债权投资减值准备明细表!$C:$C,其他债权投资减值准备!B$1,其他债权投资减值准备明细表!$N:$N),2)</f>
        <v>0</v>
      </c>
      <c r="C12" s="138">
        <f>ROUND(SUMIF(其他债权投资减值准备明细表!$C:$C,其他债权投资减值准备!C$1,其他债权投资减值准备明细表!$N:$N),2)</f>
        <v>0</v>
      </c>
      <c r="D12" s="138">
        <f>ROUND(SUMIF(其他债权投资减值准备明细表!$C:$C,其他债权投资减值准备!D$1,其他债权投资减值准备明细表!$N:$N),2)</f>
        <v>0</v>
      </c>
      <c r="E12" s="133">
        <f t="shared" si="0"/>
        <v>0</v>
      </c>
    </row>
    <row r="13" spans="1:5">
      <c r="A13" s="18" t="s">
        <v>245</v>
      </c>
      <c r="B13" s="133">
        <f>ROUND(SUM(B4:B12,B2),2)</f>
        <v>0</v>
      </c>
      <c r="C13" s="133">
        <f>ROUND(SUM(C4:C12,C2),2)</f>
        <v>0</v>
      </c>
      <c r="D13" s="133">
        <f>ROUND(SUM(D4:D12,D2),2)</f>
        <v>0</v>
      </c>
      <c r="E13" s="133">
        <f>ROUND(SUM(E4:E12,E2),2)</f>
        <v>0</v>
      </c>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F382-A6A6-447D-8DD7-996B7E498B67}">
  <sheetPr codeName="Sheet169"/>
  <dimension ref="A1:O18"/>
  <sheetViews>
    <sheetView workbookViewId="0">
      <selection activeCell="A6" sqref="A6"/>
    </sheetView>
  </sheetViews>
  <sheetFormatPr defaultRowHeight="13.8"/>
  <cols>
    <col min="2" max="2" width="9.5546875" bestFit="1" customWidth="1"/>
    <col min="3" max="3" width="9.5546875" customWidth="1"/>
    <col min="5" max="9" width="16.109375" style="229" bestFit="1" customWidth="1"/>
    <col min="10" max="11" width="9.5546875" style="229" bestFit="1" customWidth="1"/>
    <col min="12" max="15" width="8.88671875" style="229"/>
  </cols>
  <sheetData>
    <row r="1" spans="1:15">
      <c r="A1" t="s">
        <v>2383</v>
      </c>
      <c r="B1" t="s">
        <v>3476</v>
      </c>
      <c r="C1" t="s">
        <v>3500</v>
      </c>
      <c r="D1" t="s">
        <v>578</v>
      </c>
      <c r="E1" s="229" t="s">
        <v>3495</v>
      </c>
      <c r="F1" s="229" t="s">
        <v>3496</v>
      </c>
      <c r="G1" s="229" t="s">
        <v>3497</v>
      </c>
      <c r="H1" s="229" t="s">
        <v>3498</v>
      </c>
      <c r="I1" s="229" t="s">
        <v>3499</v>
      </c>
      <c r="J1" s="229" t="s">
        <v>300</v>
      </c>
      <c r="K1" s="229" t="s">
        <v>301</v>
      </c>
      <c r="L1" s="229" t="s">
        <v>302</v>
      </c>
      <c r="M1" s="229" t="s">
        <v>303</v>
      </c>
      <c r="N1" s="229" t="s">
        <v>304</v>
      </c>
      <c r="O1" s="229" t="s">
        <v>390</v>
      </c>
    </row>
    <row r="2" spans="1:15">
      <c r="A2" s="229" t="str">
        <f>IF(OR(K2&gt;0,S2&gt;0),基础信息!$B$1,"")</f>
        <v/>
      </c>
      <c r="B2" s="276"/>
      <c r="C2" s="276"/>
      <c r="E2" s="229">
        <f>SUM(F2:I2)</f>
        <v>0</v>
      </c>
      <c r="O2" s="229">
        <f>SUM(F2:N2,D2)</f>
        <v>0</v>
      </c>
    </row>
    <row r="3" spans="1:15">
      <c r="A3" s="229" t="str">
        <f>IF(OR(K3&gt;0,S3&gt;0),基础信息!$B$1,"")</f>
        <v/>
      </c>
      <c r="B3" s="276"/>
      <c r="C3" s="276"/>
      <c r="E3" s="229">
        <f t="shared" ref="E3:E18" si="0">SUM(F3:I3)</f>
        <v>0</v>
      </c>
      <c r="O3" s="229">
        <f t="shared" ref="O3:O18" si="1">SUM(F3:N3,D3)</f>
        <v>0</v>
      </c>
    </row>
    <row r="4" spans="1:15">
      <c r="A4" s="229" t="str">
        <f>IF(OR(K4&gt;0,S4&gt;0),基础信息!$B$1,"")</f>
        <v/>
      </c>
      <c r="B4" s="276"/>
      <c r="C4" s="276"/>
      <c r="E4" s="229">
        <f t="shared" si="0"/>
        <v>0</v>
      </c>
      <c r="O4" s="229">
        <f t="shared" si="1"/>
        <v>0</v>
      </c>
    </row>
    <row r="5" spans="1:15">
      <c r="A5" s="229" t="str">
        <f>IF(OR(K5&gt;0,S5&gt;0),基础信息!$B$1,"")</f>
        <v/>
      </c>
      <c r="B5" s="276"/>
      <c r="C5" s="276"/>
      <c r="E5" s="229">
        <f t="shared" si="0"/>
        <v>0</v>
      </c>
      <c r="O5" s="229">
        <f t="shared" si="1"/>
        <v>0</v>
      </c>
    </row>
    <row r="6" spans="1:15">
      <c r="A6" s="229" t="str">
        <f>IF(OR(K6&gt;0,S6&gt;0),基础信息!$B$1,"")</f>
        <v/>
      </c>
      <c r="B6" s="276"/>
      <c r="C6" s="276"/>
      <c r="E6" s="229">
        <f t="shared" si="0"/>
        <v>0</v>
      </c>
      <c r="O6" s="229">
        <f t="shared" si="1"/>
        <v>0</v>
      </c>
    </row>
    <row r="7" spans="1:15">
      <c r="A7" s="229" t="str">
        <f>IF(OR(K7&gt;0,S7&gt;0),基础信息!$B$1,"")</f>
        <v/>
      </c>
      <c r="B7" s="276"/>
      <c r="C7" s="276"/>
      <c r="E7" s="229">
        <f t="shared" si="0"/>
        <v>0</v>
      </c>
      <c r="O7" s="229">
        <f t="shared" si="1"/>
        <v>0</v>
      </c>
    </row>
    <row r="8" spans="1:15">
      <c r="A8" s="229" t="str">
        <f>IF(OR(K8&gt;0,S8&gt;0),基础信息!$B$1,"")</f>
        <v/>
      </c>
      <c r="B8" s="276"/>
      <c r="C8" s="276"/>
      <c r="E8" s="229">
        <f t="shared" si="0"/>
        <v>0</v>
      </c>
      <c r="O8" s="229">
        <f t="shared" si="1"/>
        <v>0</v>
      </c>
    </row>
    <row r="9" spans="1:15">
      <c r="A9" s="229" t="str">
        <f>IF(OR(K9&gt;0,S9&gt;0),基础信息!$B$1,"")</f>
        <v/>
      </c>
      <c r="B9" s="276"/>
      <c r="C9" s="276"/>
      <c r="E9" s="229">
        <f t="shared" si="0"/>
        <v>0</v>
      </c>
      <c r="O9" s="229">
        <f t="shared" si="1"/>
        <v>0</v>
      </c>
    </row>
    <row r="10" spans="1:15">
      <c r="A10" s="229" t="str">
        <f>IF(OR(K10&gt;0,S10&gt;0),基础信息!$B$1,"")</f>
        <v/>
      </c>
      <c r="B10" s="276"/>
      <c r="C10" s="276"/>
      <c r="E10" s="229">
        <f t="shared" si="0"/>
        <v>0</v>
      </c>
      <c r="O10" s="229">
        <f t="shared" si="1"/>
        <v>0</v>
      </c>
    </row>
    <row r="11" spans="1:15">
      <c r="A11" s="229" t="str">
        <f>IF(OR(K11&gt;0,S11&gt;0),基础信息!$B$1,"")</f>
        <v/>
      </c>
      <c r="B11" s="276"/>
      <c r="C11" s="276"/>
      <c r="E11" s="229">
        <f t="shared" si="0"/>
        <v>0</v>
      </c>
      <c r="O11" s="229">
        <f t="shared" si="1"/>
        <v>0</v>
      </c>
    </row>
    <row r="12" spans="1:15">
      <c r="A12" s="229" t="str">
        <f>IF(OR(K12&gt;0,S12&gt;0),基础信息!$B$1,"")</f>
        <v/>
      </c>
      <c r="B12" s="276"/>
      <c r="C12" s="276"/>
      <c r="E12" s="229">
        <f t="shared" si="0"/>
        <v>0</v>
      </c>
      <c r="O12" s="229">
        <f t="shared" si="1"/>
        <v>0</v>
      </c>
    </row>
    <row r="13" spans="1:15">
      <c r="A13" s="229" t="str">
        <f>IF(OR(K13&gt;0,S13&gt;0),基础信息!$B$1,"")</f>
        <v/>
      </c>
      <c r="B13" s="276"/>
      <c r="C13" s="276"/>
      <c r="E13" s="229">
        <f t="shared" si="0"/>
        <v>0</v>
      </c>
      <c r="O13" s="229">
        <f t="shared" si="1"/>
        <v>0</v>
      </c>
    </row>
    <row r="14" spans="1:15">
      <c r="A14" s="229" t="str">
        <f>IF(OR(K14&gt;0,S14&gt;0),基础信息!$B$1,"")</f>
        <v/>
      </c>
      <c r="B14" s="276"/>
      <c r="C14" s="276"/>
      <c r="E14" s="229">
        <f t="shared" si="0"/>
        <v>0</v>
      </c>
      <c r="O14" s="229">
        <f t="shared" si="1"/>
        <v>0</v>
      </c>
    </row>
    <row r="15" spans="1:15">
      <c r="A15" s="229" t="str">
        <f>IF(OR(K15&gt;0,S15&gt;0),基础信息!$B$1,"")</f>
        <v/>
      </c>
      <c r="B15" s="276"/>
      <c r="C15" s="276"/>
      <c r="E15" s="229">
        <f t="shared" si="0"/>
        <v>0</v>
      </c>
      <c r="O15" s="229">
        <f t="shared" si="1"/>
        <v>0</v>
      </c>
    </row>
    <row r="16" spans="1:15">
      <c r="A16" s="229" t="str">
        <f>IF(OR(K16&gt;0,S16&gt;0),基础信息!$B$1,"")</f>
        <v/>
      </c>
      <c r="B16" s="276"/>
      <c r="C16" s="276"/>
      <c r="E16" s="229">
        <f t="shared" si="0"/>
        <v>0</v>
      </c>
      <c r="O16" s="229">
        <f t="shared" si="1"/>
        <v>0</v>
      </c>
    </row>
    <row r="17" spans="1:15">
      <c r="A17" s="229" t="str">
        <f>IF(OR(K17&gt;0,S17&gt;0),基础信息!$B$1,"")</f>
        <v/>
      </c>
      <c r="B17" s="276"/>
      <c r="C17" s="276"/>
      <c r="E17" s="229">
        <f t="shared" si="0"/>
        <v>0</v>
      </c>
      <c r="O17" s="229">
        <f t="shared" si="1"/>
        <v>0</v>
      </c>
    </row>
    <row r="18" spans="1:15">
      <c r="A18" s="229" t="str">
        <f>IF(OR(K18&gt;0,S18&gt;0),基础信息!$B$1,"")</f>
        <v/>
      </c>
      <c r="B18" s="276"/>
      <c r="C18" s="276"/>
      <c r="E18" s="229">
        <f t="shared" si="0"/>
        <v>0</v>
      </c>
      <c r="O18"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30980B-CFBA-46CC-917F-16C22A77BFC9}">
          <x14:formula1>
            <xm:f>分类表!$94:$94</xm:f>
          </x14:formula1>
          <xm:sqref>C2:C18</xm:sqref>
        </x14:dataValidation>
        <x14:dataValidation type="list" allowBlank="1" showInputMessage="1" showErrorMessage="1" xr:uid="{9030DB13-B217-4DCC-9AC5-715BB0DAC367}">
          <x14:formula1>
            <xm:f>分类表!$93:$93</xm:f>
          </x14:formula1>
          <xm:sqref>B2:B18</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codeName="Sheet170">
    <tabColor rgb="FFFFC000"/>
  </sheetPr>
  <dimension ref="A1:G4"/>
  <sheetViews>
    <sheetView workbookViewId="0">
      <selection activeCell="J20" sqref="J20"/>
    </sheetView>
  </sheetViews>
  <sheetFormatPr defaultRowHeight="13.8"/>
  <cols>
    <col min="1" max="16384" width="8.88671875" style="18"/>
  </cols>
  <sheetData>
    <row r="1" spans="1:7" ht="14.4">
      <c r="A1" s="20" t="s">
        <v>28</v>
      </c>
      <c r="B1" s="20" t="s">
        <v>265</v>
      </c>
      <c r="C1" s="20" t="s">
        <v>203</v>
      </c>
      <c r="D1" s="20" t="s">
        <v>369</v>
      </c>
      <c r="E1" s="19" t="s">
        <v>370</v>
      </c>
      <c r="F1" s="19" t="s">
        <v>371</v>
      </c>
      <c r="G1" s="20" t="s">
        <v>372</v>
      </c>
    </row>
    <row r="2" spans="1:7" ht="14.4">
      <c r="A2" s="268"/>
      <c r="B2" s="280"/>
      <c r="C2" s="280"/>
      <c r="D2" s="280"/>
      <c r="E2" s="280"/>
      <c r="F2" s="280"/>
      <c r="G2" s="281"/>
    </row>
    <row r="3" spans="1:7" ht="14.4">
      <c r="A3" s="268"/>
      <c r="B3" s="280"/>
      <c r="C3" s="280"/>
      <c r="D3" s="280"/>
      <c r="E3" s="280"/>
      <c r="F3" s="280"/>
      <c r="G3" s="281"/>
    </row>
    <row r="4" spans="1:7" ht="14.4">
      <c r="A4" s="18" t="s">
        <v>204</v>
      </c>
      <c r="B4" s="68">
        <f>ROUND(SUM(B2:B3),2)</f>
        <v>0</v>
      </c>
      <c r="C4" s="68">
        <f>ROUND(SUM(C2:C3),2)</f>
        <v>0</v>
      </c>
      <c r="D4" s="21"/>
      <c r="E4" s="21"/>
      <c r="F4" s="21"/>
      <c r="G4" s="44"/>
    </row>
  </sheetData>
  <phoneticPr fontId="1"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codeName="Sheet171">
    <tabColor rgb="FFFFC000"/>
  </sheetPr>
  <dimension ref="A1:G4"/>
  <sheetViews>
    <sheetView workbookViewId="0">
      <selection activeCell="G16" sqref="G16"/>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245</v>
      </c>
      <c r="C1" s="40" t="s">
        <v>271</v>
      </c>
      <c r="D1" s="40" t="s">
        <v>318</v>
      </c>
      <c r="E1" s="40" t="s">
        <v>246</v>
      </c>
      <c r="F1" s="40" t="s">
        <v>274</v>
      </c>
      <c r="G1" s="40" t="s">
        <v>320</v>
      </c>
    </row>
    <row r="2" spans="1:7">
      <c r="A2" s="307"/>
      <c r="B2" s="264"/>
      <c r="C2" s="278"/>
      <c r="D2" s="151">
        <f>ROUND(B2-C2,2)</f>
        <v>0</v>
      </c>
      <c r="E2" s="264"/>
      <c r="F2" s="278"/>
      <c r="G2" s="151">
        <f>ROUND(E2-F2,2)</f>
        <v>0</v>
      </c>
    </row>
    <row r="3" spans="1:7">
      <c r="A3" s="307"/>
      <c r="B3" s="264"/>
      <c r="C3" s="278"/>
      <c r="D3" s="151">
        <f>ROUND(B3-C3,2)</f>
        <v>0</v>
      </c>
      <c r="E3" s="264"/>
      <c r="F3" s="278"/>
      <c r="G3" s="151">
        <f>ROUND(E3-F3,2)</f>
        <v>0</v>
      </c>
    </row>
    <row r="4" spans="1:7" ht="14.4">
      <c r="A4" s="35" t="s">
        <v>204</v>
      </c>
      <c r="B4" s="156">
        <f t="shared" ref="B4:G4" si="0">ROUND(SUM(B2:B3),2)</f>
        <v>0</v>
      </c>
      <c r="C4" s="156">
        <f t="shared" si="0"/>
        <v>0</v>
      </c>
      <c r="D4" s="156">
        <f t="shared" si="0"/>
        <v>0</v>
      </c>
      <c r="E4" s="156">
        <f t="shared" si="0"/>
        <v>0</v>
      </c>
      <c r="F4" s="156">
        <f t="shared" si="0"/>
        <v>0</v>
      </c>
      <c r="G4" s="156">
        <f t="shared" si="0"/>
        <v>0</v>
      </c>
    </row>
  </sheetData>
  <phoneticPr fontId="1" type="noConversion"/>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codeName="Sheet172">
    <tabColor rgb="FFFFC000"/>
  </sheetPr>
  <dimension ref="A1:E4"/>
  <sheetViews>
    <sheetView workbookViewId="0">
      <selection activeCell="K9" sqref="K9"/>
    </sheetView>
  </sheetViews>
  <sheetFormatPr defaultRowHeight="13.8"/>
  <cols>
    <col min="1" max="16384" width="8.88671875" style="18"/>
  </cols>
  <sheetData>
    <row r="1" spans="1:5" ht="14.4">
      <c r="A1" s="20" t="s">
        <v>388</v>
      </c>
      <c r="B1" s="20" t="s">
        <v>3352</v>
      </c>
      <c r="C1" s="20" t="s">
        <v>370</v>
      </c>
      <c r="D1" s="20" t="s">
        <v>371</v>
      </c>
      <c r="E1" s="20" t="s">
        <v>372</v>
      </c>
    </row>
    <row r="2" spans="1:5">
      <c r="A2" s="302"/>
      <c r="B2" s="279"/>
      <c r="C2" s="279"/>
      <c r="D2" s="279"/>
      <c r="E2" s="279"/>
    </row>
    <row r="3" spans="1:5">
      <c r="A3" s="308"/>
      <c r="B3" s="279"/>
      <c r="C3" s="279"/>
      <c r="D3" s="279"/>
      <c r="E3" s="279"/>
    </row>
    <row r="4" spans="1:5" ht="14.4">
      <c r="A4" s="20" t="s">
        <v>204</v>
      </c>
      <c r="B4" s="54"/>
      <c r="C4" s="54" t="s">
        <v>38</v>
      </c>
      <c r="D4" s="54" t="s">
        <v>38</v>
      </c>
      <c r="E4" s="54" t="s">
        <v>38</v>
      </c>
    </row>
  </sheetData>
  <phoneticPr fontId="1"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sheetPr codeName="Sheet15"/>
  <dimension ref="A1:C60"/>
  <sheetViews>
    <sheetView workbookViewId="0">
      <pane xSplit="1" ySplit="1" topLeftCell="B53" activePane="bottomRight" state="frozen"/>
      <selection pane="topRight" activeCell="B1" sqref="B1"/>
      <selection pane="bottomLeft" activeCell="A2" sqref="A2"/>
      <selection pane="bottomRight" activeCell="E52" sqref="E52"/>
    </sheetView>
  </sheetViews>
  <sheetFormatPr defaultRowHeight="13.8"/>
  <cols>
    <col min="1" max="1" width="65.5546875" style="18" bestFit="1" customWidth="1"/>
    <col min="2" max="2" width="17.109375" style="18" bestFit="1" customWidth="1"/>
    <col min="3" max="3" width="10.6640625" style="18" bestFit="1" customWidth="1"/>
    <col min="4" max="16384" width="8.88671875" style="18"/>
  </cols>
  <sheetData>
    <row r="1" spans="1:3">
      <c r="A1" s="62" t="s">
        <v>1461</v>
      </c>
      <c r="B1" s="105" t="s">
        <v>1409</v>
      </c>
      <c r="C1" s="105" t="s">
        <v>1410</v>
      </c>
    </row>
    <row r="2" spans="1:3">
      <c r="A2" s="18" t="s">
        <v>1243</v>
      </c>
      <c r="B2" s="1"/>
      <c r="C2" s="1"/>
    </row>
    <row r="3" spans="1:3">
      <c r="A3" s="18" t="s">
        <v>1244</v>
      </c>
      <c r="B3" s="1">
        <f>ROUND(现金流量表计算表!K31,2)</f>
        <v>0</v>
      </c>
      <c r="C3" s="1"/>
    </row>
    <row r="4" spans="1:3">
      <c r="A4" s="18" t="s">
        <v>1245</v>
      </c>
      <c r="B4" s="1"/>
      <c r="C4" s="1"/>
    </row>
    <row r="5" spans="1:3">
      <c r="A5" s="18" t="s">
        <v>1246</v>
      </c>
      <c r="B5" s="1"/>
      <c r="C5" s="1"/>
    </row>
    <row r="6" spans="1:3">
      <c r="A6" s="18" t="s">
        <v>1247</v>
      </c>
      <c r="B6" s="1"/>
      <c r="C6" s="1"/>
    </row>
    <row r="7" spans="1:3">
      <c r="A7" s="18" t="s">
        <v>1248</v>
      </c>
      <c r="B7" s="1"/>
      <c r="C7" s="1"/>
    </row>
    <row r="8" spans="1:3">
      <c r="A8" s="18" t="s">
        <v>1462</v>
      </c>
      <c r="B8" s="1"/>
      <c r="C8" s="1"/>
    </row>
    <row r="9" spans="1:3">
      <c r="A9" s="18" t="s">
        <v>1249</v>
      </c>
      <c r="B9" s="1"/>
      <c r="C9" s="1"/>
    </row>
    <row r="10" spans="1:3">
      <c r="A10" s="18" t="s">
        <v>1250</v>
      </c>
      <c r="B10" s="1"/>
      <c r="C10" s="1"/>
    </row>
    <row r="11" spans="1:3">
      <c r="A11" s="18" t="s">
        <v>1251</v>
      </c>
      <c r="B11" s="1"/>
      <c r="C11" s="1"/>
    </row>
    <row r="12" spans="1:3">
      <c r="A12" s="18" t="s">
        <v>1252</v>
      </c>
      <c r="B12" s="1"/>
      <c r="C12" s="1"/>
    </row>
    <row r="13" spans="1:3">
      <c r="A13" s="18" t="s">
        <v>1253</v>
      </c>
      <c r="B13" s="1"/>
      <c r="C13" s="1"/>
    </row>
    <row r="14" spans="1:3">
      <c r="A14" s="18" t="s">
        <v>1463</v>
      </c>
      <c r="B14" s="1"/>
      <c r="C14" s="1"/>
    </row>
    <row r="15" spans="1:3">
      <c r="A15" s="18" t="s">
        <v>1254</v>
      </c>
      <c r="B15" s="1">
        <f>ROUND(现金流量表计算表!K41,2)</f>
        <v>0</v>
      </c>
      <c r="C15" s="1"/>
    </row>
    <row r="16" spans="1:3">
      <c r="A16" s="18" t="s">
        <v>1255</v>
      </c>
      <c r="B16" s="1">
        <f>ROUND(现金流量表计算表!K83,2)</f>
        <v>0</v>
      </c>
      <c r="C16" s="1"/>
    </row>
    <row r="17" spans="1:3">
      <c r="A17" s="18" t="s">
        <v>1256</v>
      </c>
      <c r="B17" s="623">
        <f>ROUND(SUM(B3:B16),2)</f>
        <v>0</v>
      </c>
      <c r="C17" s="15">
        <f>ROUND(SUM(C3:C16),2)</f>
        <v>0</v>
      </c>
    </row>
    <row r="18" spans="1:3">
      <c r="A18" s="18" t="s">
        <v>1257</v>
      </c>
      <c r="B18" s="1">
        <f>ROUND(现金流量表计算表!K130,2)</f>
        <v>0</v>
      </c>
      <c r="C18" s="1"/>
    </row>
    <row r="19" spans="1:3">
      <c r="A19" s="18" t="s">
        <v>1258</v>
      </c>
      <c r="B19" s="1"/>
      <c r="C19" s="1"/>
    </row>
    <row r="20" spans="1:3">
      <c r="A20" s="18" t="s">
        <v>1259</v>
      </c>
      <c r="B20" s="1"/>
      <c r="C20" s="1"/>
    </row>
    <row r="21" spans="1:3">
      <c r="A21" s="18" t="s">
        <v>1260</v>
      </c>
      <c r="B21" s="1"/>
      <c r="C21" s="1"/>
    </row>
    <row r="22" spans="1:3">
      <c r="A22" s="18" t="s">
        <v>1464</v>
      </c>
      <c r="B22" s="1"/>
      <c r="C22" s="1"/>
    </row>
    <row r="23" spans="1:3">
      <c r="A23" s="18" t="s">
        <v>1261</v>
      </c>
      <c r="B23" s="1"/>
      <c r="C23" s="1"/>
    </row>
    <row r="24" spans="1:3">
      <c r="A24" s="18" t="s">
        <v>1262</v>
      </c>
      <c r="B24" s="1"/>
      <c r="C24" s="1"/>
    </row>
    <row r="25" spans="1:3">
      <c r="A25" s="18" t="s">
        <v>1926</v>
      </c>
      <c r="B25" s="1">
        <f>ROUND(现金流量表计算表!K150,2)</f>
        <v>0</v>
      </c>
      <c r="C25" s="1"/>
    </row>
    <row r="26" spans="1:3">
      <c r="A26" s="18" t="s">
        <v>1928</v>
      </c>
      <c r="B26" s="1">
        <f>ROUND(现金流量表计算表!K171,2)</f>
        <v>0</v>
      </c>
      <c r="C26" s="1"/>
    </row>
    <row r="27" spans="1:3">
      <c r="A27" s="18" t="s">
        <v>1263</v>
      </c>
      <c r="B27" s="1">
        <f>ROUND(现金流量表计算表!K228,2)</f>
        <v>0</v>
      </c>
      <c r="C27" s="1"/>
    </row>
    <row r="28" spans="1:3">
      <c r="A28" s="18" t="s">
        <v>1264</v>
      </c>
      <c r="B28" s="623">
        <f>ROUND(SUM(B18:B27),2)</f>
        <v>0</v>
      </c>
      <c r="C28" s="15">
        <f>ROUND(SUM(C18:C27),2)</f>
        <v>0</v>
      </c>
    </row>
    <row r="29" spans="1:3">
      <c r="A29" s="18" t="s">
        <v>710</v>
      </c>
      <c r="B29" s="623">
        <f>ROUND(B17-B28,2)</f>
        <v>0</v>
      </c>
      <c r="C29" s="15">
        <f>ROUND(C17-C28,2)</f>
        <v>0</v>
      </c>
    </row>
    <row r="30" spans="1:3">
      <c r="A30" s="18" t="s">
        <v>1265</v>
      </c>
      <c r="B30" s="1"/>
      <c r="C30" s="1"/>
    </row>
    <row r="31" spans="1:3">
      <c r="A31" s="18" t="s">
        <v>1266</v>
      </c>
      <c r="B31" s="1">
        <f>ROUND(现金流量表计算表!K238,2)</f>
        <v>0</v>
      </c>
      <c r="C31" s="1"/>
    </row>
    <row r="32" spans="1:3">
      <c r="A32" s="18" t="s">
        <v>1267</v>
      </c>
      <c r="B32" s="1">
        <f>ROUND(现金流量表计算表!K244,2)</f>
        <v>0</v>
      </c>
      <c r="C32" s="1"/>
    </row>
    <row r="33" spans="1:3">
      <c r="A33" s="18" t="s">
        <v>1465</v>
      </c>
      <c r="B33" s="1">
        <f>ROUND(现金流量表计算表!K259,2)</f>
        <v>0</v>
      </c>
      <c r="C33" s="1"/>
    </row>
    <row r="34" spans="1:3">
      <c r="A34" s="18" t="s">
        <v>1466</v>
      </c>
      <c r="B34" s="1">
        <f>ROUND(现金流量表计算表!K266,2)</f>
        <v>0</v>
      </c>
      <c r="C34" s="1"/>
    </row>
    <row r="35" spans="1:3">
      <c r="A35" s="18" t="s">
        <v>1268</v>
      </c>
      <c r="B35" s="1">
        <f>ROUND(现金流量表计算表!K273,2)</f>
        <v>0</v>
      </c>
      <c r="C35" s="1"/>
    </row>
    <row r="36" spans="1:3">
      <c r="A36" s="18" t="s">
        <v>1269</v>
      </c>
      <c r="B36" s="623">
        <f>ROUND(SUM(B31:B35),2)</f>
        <v>0</v>
      </c>
      <c r="C36" s="15">
        <f>ROUND(SUM(C31:C35),2)</f>
        <v>0</v>
      </c>
    </row>
    <row r="37" spans="1:3">
      <c r="A37" s="18" t="s">
        <v>1467</v>
      </c>
      <c r="B37" s="1">
        <f>ROUND(现金流量表计算表!K296,2)</f>
        <v>0</v>
      </c>
      <c r="C37" s="1"/>
    </row>
    <row r="38" spans="1:3">
      <c r="A38" s="18" t="s">
        <v>1270</v>
      </c>
      <c r="B38" s="1">
        <f>ROUND(现金流量表计算表!K311,2)</f>
        <v>0</v>
      </c>
      <c r="C38" s="1"/>
    </row>
    <row r="39" spans="1:3">
      <c r="A39" s="18" t="s">
        <v>1271</v>
      </c>
      <c r="B39" s="1"/>
      <c r="C39" s="1"/>
    </row>
    <row r="40" spans="1:3">
      <c r="A40" s="18" t="s">
        <v>1272</v>
      </c>
      <c r="B40" s="1">
        <f>ROUND(现金流量表计算表!K317,2)</f>
        <v>0</v>
      </c>
      <c r="C40" s="1"/>
    </row>
    <row r="41" spans="1:3">
      <c r="A41" s="18" t="s">
        <v>1273</v>
      </c>
      <c r="B41" s="1">
        <f>ROUND(现金流量表计算表!K325,2)</f>
        <v>0</v>
      </c>
      <c r="C41" s="1"/>
    </row>
    <row r="42" spans="1:3">
      <c r="A42" s="18" t="s">
        <v>1274</v>
      </c>
      <c r="B42" s="623">
        <f>ROUND(SUM(B37:B41),2)</f>
        <v>0</v>
      </c>
      <c r="C42" s="15">
        <f>ROUND(SUM(C37:C41),2)</f>
        <v>0</v>
      </c>
    </row>
    <row r="43" spans="1:3">
      <c r="A43" s="18" t="s">
        <v>1468</v>
      </c>
      <c r="B43" s="623">
        <f>ROUND(B36-B42,2)</f>
        <v>0</v>
      </c>
      <c r="C43" s="15">
        <f>ROUND(C36-C42,2)</f>
        <v>0</v>
      </c>
    </row>
    <row r="44" spans="1:3">
      <c r="A44" s="18" t="s">
        <v>1275</v>
      </c>
      <c r="B44" s="1"/>
      <c r="C44" s="1"/>
    </row>
    <row r="45" spans="1:3">
      <c r="A45" s="18" t="s">
        <v>1276</v>
      </c>
      <c r="B45" s="1">
        <f>ROUND(现金流量表计算表!K332,2)</f>
        <v>0</v>
      </c>
      <c r="C45" s="1"/>
    </row>
    <row r="46" spans="1:3">
      <c r="A46" s="18" t="s">
        <v>1277</v>
      </c>
      <c r="B46" s="1"/>
      <c r="C46" s="1"/>
    </row>
    <row r="47" spans="1:3">
      <c r="A47" s="18" t="s">
        <v>1278</v>
      </c>
      <c r="B47" s="1">
        <f>ROUND(现金流量表计算表!K340,2)</f>
        <v>0</v>
      </c>
      <c r="C47" s="1"/>
    </row>
    <row r="48" spans="1:3">
      <c r="A48" s="18" t="s">
        <v>1279</v>
      </c>
      <c r="B48" s="1"/>
      <c r="C48" s="1"/>
    </row>
    <row r="49" spans="1:3">
      <c r="A49" s="18" t="s">
        <v>1280</v>
      </c>
      <c r="B49" s="1">
        <f>ROUND(现金流量表计算表!K346,2)</f>
        <v>0</v>
      </c>
      <c r="C49" s="1"/>
    </row>
    <row r="50" spans="1:3">
      <c r="A50" s="18" t="s">
        <v>1281</v>
      </c>
      <c r="B50" s="623">
        <f>ROUND(SUM(B47:B49,B45),2)</f>
        <v>0</v>
      </c>
      <c r="C50" s="15">
        <f>ROUND(SUM(C47:C49,C45),2)</f>
        <v>0</v>
      </c>
    </row>
    <row r="51" spans="1:3">
      <c r="A51" s="18" t="s">
        <v>1282</v>
      </c>
      <c r="B51" s="1">
        <f>ROUND(现金流量表计算表!K357,2)</f>
        <v>0</v>
      </c>
      <c r="C51" s="1"/>
    </row>
    <row r="52" spans="1:3">
      <c r="A52" s="18" t="s">
        <v>1283</v>
      </c>
      <c r="B52" s="1">
        <f>ROUND(现金流量表计算表!K365,2)</f>
        <v>0</v>
      </c>
      <c r="C52" s="1"/>
    </row>
    <row r="53" spans="1:3">
      <c r="A53" s="18" t="s">
        <v>1284</v>
      </c>
      <c r="B53" s="1"/>
      <c r="C53" s="1"/>
    </row>
    <row r="54" spans="1:3">
      <c r="A54" s="18" t="s">
        <v>1285</v>
      </c>
      <c r="B54" s="1">
        <f>ROUND(现金流量表计算表!K373,2)</f>
        <v>0</v>
      </c>
      <c r="C54" s="1"/>
    </row>
    <row r="55" spans="1:3">
      <c r="A55" s="18" t="s">
        <v>1286</v>
      </c>
      <c r="B55" s="623">
        <f>ROUND(SUM(B51:B52,B54),2)</f>
        <v>0</v>
      </c>
      <c r="C55" s="15">
        <f>ROUND(SUM(C51:C52,C54),2)</f>
        <v>0</v>
      </c>
    </row>
    <row r="56" spans="1:3">
      <c r="A56" s="18" t="s">
        <v>1469</v>
      </c>
      <c r="B56" s="623">
        <f>ROUND(B50-B55,2)</f>
        <v>0</v>
      </c>
      <c r="C56" s="15">
        <f>ROUND(C50-C55,2)</f>
        <v>0</v>
      </c>
    </row>
    <row r="57" spans="1:3">
      <c r="A57" s="18" t="s">
        <v>1287</v>
      </c>
      <c r="B57" s="1"/>
      <c r="C57" s="1"/>
    </row>
    <row r="58" spans="1:3">
      <c r="A58" s="18" t="s">
        <v>1288</v>
      </c>
      <c r="B58" s="623">
        <f>ROUND(B57+B56+B43+B29,2)</f>
        <v>0</v>
      </c>
      <c r="C58" s="15">
        <f>ROUND(C57+C56+C43+C29,2)</f>
        <v>0</v>
      </c>
    </row>
    <row r="59" spans="1:3">
      <c r="A59" s="18" t="s">
        <v>1289</v>
      </c>
      <c r="B59" s="1">
        <f>ROUND(C60,2)</f>
        <v>0</v>
      </c>
      <c r="C59" s="1"/>
    </row>
    <row r="60" spans="1:3">
      <c r="A60" s="18" t="s">
        <v>1290</v>
      </c>
      <c r="B60" s="623">
        <f>ROUND(B58+B59,2)</f>
        <v>0</v>
      </c>
      <c r="C60" s="15">
        <f>ROUND(C58+C59,2)</f>
        <v>0</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codeName="Sheet173">
    <tabColor rgb="FFFFC000"/>
  </sheetPr>
  <dimension ref="A1:H7"/>
  <sheetViews>
    <sheetView workbookViewId="0">
      <selection activeCell="D18" sqref="D18"/>
    </sheetView>
  </sheetViews>
  <sheetFormatPr defaultRowHeight="13.8"/>
  <cols>
    <col min="1" max="1" width="35.5546875" style="18" customWidth="1"/>
    <col min="2" max="8" width="12.77734375" style="18" customWidth="1"/>
    <col min="9" max="16384" width="8.88671875" style="18"/>
  </cols>
  <sheetData>
    <row r="1" spans="1:8">
      <c r="A1" s="26" t="s">
        <v>28</v>
      </c>
      <c r="B1" s="26" t="s">
        <v>214</v>
      </c>
      <c r="C1" s="26" t="s">
        <v>215</v>
      </c>
      <c r="D1" s="26" t="s">
        <v>395</v>
      </c>
      <c r="E1" s="26" t="s">
        <v>217</v>
      </c>
      <c r="F1" s="26" t="s">
        <v>219</v>
      </c>
      <c r="G1" s="26" t="s">
        <v>221</v>
      </c>
      <c r="H1" s="26" t="s">
        <v>392</v>
      </c>
    </row>
    <row r="2" spans="1:8">
      <c r="A2" s="602" t="s">
        <v>393</v>
      </c>
      <c r="B2" s="353">
        <f>ROUND(SUMIF(长期应收款明细表!D:D,长期应收款明细情况!A2,长期应收款明细表!I:I),2)</f>
        <v>0</v>
      </c>
      <c r="C2" s="353">
        <f>ROUND(SUMIF(长期应收款明细表!D:D,长期应收款明细情况!A2,长期应收款明细表!L:L),2)</f>
        <v>0</v>
      </c>
      <c r="D2" s="233">
        <f>ROUND(B2-C2,2)</f>
        <v>0</v>
      </c>
      <c r="E2" s="353">
        <f>ROUND(SUMIF(长期应收款明细表!D:D,A2,长期应收款明细表!O:O),2)</f>
        <v>0</v>
      </c>
      <c r="F2" s="353">
        <f>ROUND(SUMIF(长期应收款明细表!D:D,A2,长期应收款明细表!R:R),2)</f>
        <v>0</v>
      </c>
      <c r="G2" s="233">
        <f>ROUND(E2-F2,2)</f>
        <v>0</v>
      </c>
      <c r="H2" s="309"/>
    </row>
    <row r="3" spans="1:8">
      <c r="A3" s="602" t="s">
        <v>3332</v>
      </c>
      <c r="B3" s="353">
        <f>ROUND(SUMIF(长期应收款明细表!D:D,长期应收款明细情况!A3,长期应收款明细表!I:I),2)</f>
        <v>0</v>
      </c>
      <c r="C3" s="353">
        <f>ROUND(SUMIF(长期应收款明细表!D:D,长期应收款明细情况!A3,长期应收款明细表!L:L),2)</f>
        <v>0</v>
      </c>
      <c r="D3" s="233">
        <f>ROUND(B3-C3,2)</f>
        <v>0</v>
      </c>
      <c r="E3" s="353">
        <f>ROUND(SUMIF(长期应收款明细表!D:D,A3,长期应收款明细表!O:O),2)</f>
        <v>0</v>
      </c>
      <c r="F3" s="353">
        <f>ROUND(SUMIF(长期应收款明细表!D:D,A3,长期应收款明细表!R:R),2)</f>
        <v>0</v>
      </c>
      <c r="G3" s="233">
        <f>ROUND(E3-F3,2)</f>
        <v>0</v>
      </c>
      <c r="H3" s="309"/>
    </row>
    <row r="4" spans="1:8">
      <c r="A4" s="602" t="s">
        <v>3511</v>
      </c>
      <c r="B4" s="353">
        <f>ROUND(SUMIF(长期应收款明细表!D:D,长期应收款明细情况!A4,长期应收款明细表!I:I),2)</f>
        <v>0</v>
      </c>
      <c r="C4" s="353">
        <f>ROUND(SUMIF(长期应收款明细表!D:D,长期应收款明细情况!A4,长期应收款明细表!L:L),2)</f>
        <v>0</v>
      </c>
      <c r="D4" s="233">
        <f>ROUND(B4-C4,2)</f>
        <v>0</v>
      </c>
      <c r="E4" s="353">
        <f>ROUND(SUMIF(长期应收款明细表!D:D,A4,长期应收款明细表!O:O),2)</f>
        <v>0</v>
      </c>
      <c r="F4" s="353">
        <f>ROUND(SUMIF(长期应收款明细表!D:D,A4,长期应收款明细表!R:R),2)</f>
        <v>0</v>
      </c>
      <c r="G4" s="233">
        <f>ROUND(E4-F4,2)</f>
        <v>0</v>
      </c>
      <c r="H4" s="309"/>
    </row>
    <row r="5" spans="1:8">
      <c r="A5" s="602" t="s">
        <v>394</v>
      </c>
      <c r="B5" s="353">
        <f>ROUND(SUMIF(长期应收款明细表!D:D,长期应收款明细情况!A5,长期应收款明细表!I:I),2)</f>
        <v>0</v>
      </c>
      <c r="C5" s="353">
        <f>ROUND(SUMIF(长期应收款明细表!D:D,长期应收款明细情况!A5,长期应收款明细表!L:L),2)</f>
        <v>0</v>
      </c>
      <c r="D5" s="233">
        <f>ROUND(B5-C5,2)</f>
        <v>0</v>
      </c>
      <c r="E5" s="353">
        <f>ROUND(SUMIF(长期应收款明细表!D:D,A5,长期应收款明细表!O:O),2)</f>
        <v>0</v>
      </c>
      <c r="F5" s="353">
        <f>ROUND(SUMIF(长期应收款明细表!D:D,A5,长期应收款明细表!R:R),2)</f>
        <v>0</v>
      </c>
      <c r="G5" s="233">
        <f>ROUND(E5-F5,2)</f>
        <v>0</v>
      </c>
      <c r="H5" s="309"/>
    </row>
    <row r="6" spans="1:8">
      <c r="A6" s="602" t="s">
        <v>202</v>
      </c>
      <c r="B6" s="353">
        <f>ROUND(SUMIF(长期应收款明细表!D:D,长期应收款明细情况!A6,长期应收款明细表!I:I),2)</f>
        <v>0</v>
      </c>
      <c r="C6" s="353">
        <f>ROUND(SUMIF(长期应收款明细表!D:D,长期应收款明细情况!A6,长期应收款明细表!L:L),2)</f>
        <v>0</v>
      </c>
      <c r="D6" s="233">
        <f>ROUND(B6-C6,2)</f>
        <v>0</v>
      </c>
      <c r="E6" s="353">
        <f>ROUND(SUMIF(长期应收款明细表!D:D,A6,长期应收款明细表!O:O),2)</f>
        <v>0</v>
      </c>
      <c r="F6" s="353">
        <f>ROUND(SUMIF(长期应收款明细表!D:D,A6,长期应收款明细表!R:R),2)</f>
        <v>0</v>
      </c>
      <c r="G6" s="233">
        <f>ROUND(E6-F6,2)</f>
        <v>0</v>
      </c>
      <c r="H6" s="309"/>
    </row>
    <row r="7" spans="1:8">
      <c r="A7" s="27" t="s">
        <v>204</v>
      </c>
      <c r="B7" s="233">
        <f t="shared" ref="B7:G7" si="0">ROUND(SUM(B4:B6,B2),2)</f>
        <v>0</v>
      </c>
      <c r="C7" s="233">
        <f t="shared" si="0"/>
        <v>0</v>
      </c>
      <c r="D7" s="233">
        <f t="shared" si="0"/>
        <v>0</v>
      </c>
      <c r="E7" s="233">
        <f t="shared" si="0"/>
        <v>0</v>
      </c>
      <c r="F7" s="233">
        <f t="shared" si="0"/>
        <v>0</v>
      </c>
      <c r="G7" s="233">
        <f t="shared" si="0"/>
        <v>0</v>
      </c>
      <c r="H7" s="2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B1AFCB-E458-483D-8719-68112DAB9AB3}">
          <x14:formula1>
            <xm:f>分类表!$20:$20</xm:f>
          </x14:formula1>
          <xm:sqref>A2:A6</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270-74D2-49AA-A383-3F6D3348F5B8}">
  <sheetPr codeName="Sheet174"/>
  <dimension ref="A1:R29"/>
  <sheetViews>
    <sheetView workbookViewId="0">
      <selection activeCell="H27" sqref="H27"/>
    </sheetView>
  </sheetViews>
  <sheetFormatPr defaultRowHeight="13.8"/>
  <cols>
    <col min="1" max="1" width="18.33203125" bestFit="1" customWidth="1"/>
    <col min="2" max="2" width="16.109375" bestFit="1" customWidth="1"/>
    <col min="3" max="3" width="13.88671875" bestFit="1" customWidth="1"/>
    <col min="4" max="4" width="16.109375" bestFit="1" customWidth="1"/>
    <col min="5" max="5" width="13.88671875" bestFit="1" customWidth="1"/>
    <col min="6" max="6" width="7.6640625" bestFit="1" customWidth="1"/>
    <col min="7" max="7" width="13.88671875" style="229" bestFit="1" customWidth="1"/>
    <col min="8" max="8" width="15" style="229" bestFit="1" customWidth="1"/>
    <col min="9" max="9" width="13.88671875" style="229" bestFit="1" customWidth="1"/>
    <col min="10" max="12" width="13.88671875" style="229" customWidth="1"/>
    <col min="13" max="13" width="13.88671875" style="229" bestFit="1" customWidth="1"/>
  </cols>
  <sheetData>
    <row r="1" spans="1:18">
      <c r="A1" t="s">
        <v>125</v>
      </c>
      <c r="B1" t="s">
        <v>3509</v>
      </c>
      <c r="C1" t="s">
        <v>3504</v>
      </c>
      <c r="D1" t="s">
        <v>3505</v>
      </c>
      <c r="E1" t="s">
        <v>3506</v>
      </c>
      <c r="F1" t="s">
        <v>3507</v>
      </c>
      <c r="G1" s="229" t="s">
        <v>3508</v>
      </c>
      <c r="H1" s="229" t="s">
        <v>3514</v>
      </c>
      <c r="I1" s="229" t="s">
        <v>3515</v>
      </c>
      <c r="J1" s="229" t="s">
        <v>215</v>
      </c>
      <c r="K1" s="229" t="s">
        <v>3512</v>
      </c>
      <c r="L1" s="229" t="s">
        <v>3513</v>
      </c>
      <c r="M1" s="229" t="s">
        <v>3510</v>
      </c>
      <c r="N1" s="229" t="s">
        <v>3516</v>
      </c>
      <c r="O1" s="229" t="s">
        <v>3517</v>
      </c>
      <c r="P1" s="229" t="s">
        <v>218</v>
      </c>
      <c r="Q1" s="229" t="s">
        <v>3518</v>
      </c>
      <c r="R1" s="229" t="s">
        <v>3519</v>
      </c>
    </row>
    <row r="2" spans="1:18">
      <c r="A2" t="str">
        <f>IF(G2&gt;0,基础信息!$B$1,"")</f>
        <v/>
      </c>
      <c r="C2" s="276"/>
      <c r="D2" s="276"/>
      <c r="G2" s="229">
        <f>SUM(H2:I2)</f>
        <v>0</v>
      </c>
      <c r="J2" s="229">
        <f>K2+L2</f>
        <v>0</v>
      </c>
      <c r="M2" s="229">
        <f>SUM(N2:O2)</f>
        <v>0</v>
      </c>
      <c r="N2" s="229"/>
      <c r="O2" s="229"/>
      <c r="P2" s="229">
        <f>Q2+R2</f>
        <v>0</v>
      </c>
      <c r="Q2" s="229"/>
      <c r="R2" s="229"/>
    </row>
    <row r="3" spans="1:18">
      <c r="A3" t="str">
        <f>IF(G3&gt;0,基础信息!$B$1,"")</f>
        <v/>
      </c>
      <c r="C3" s="276"/>
      <c r="D3" s="276"/>
      <c r="G3" s="229">
        <f t="shared" ref="G3:G29" si="0">SUM(H3:I3)</f>
        <v>0</v>
      </c>
      <c r="J3" s="229">
        <f t="shared" ref="J3:J29" si="1">K3+L3</f>
        <v>0</v>
      </c>
      <c r="M3" s="229">
        <f t="shared" ref="M3:M29" si="2">SUM(N3:O3)</f>
        <v>0</v>
      </c>
      <c r="N3" s="229"/>
      <c r="O3" s="229"/>
      <c r="P3" s="229">
        <f t="shared" ref="P3:P29" si="3">Q3+R3</f>
        <v>0</v>
      </c>
      <c r="Q3" s="229"/>
      <c r="R3" s="229"/>
    </row>
    <row r="4" spans="1:18">
      <c r="A4" t="str">
        <f>IF(G4&gt;0,基础信息!$B$1,"")</f>
        <v/>
      </c>
      <c r="C4" s="276"/>
      <c r="D4" s="276"/>
      <c r="G4" s="229">
        <f t="shared" si="0"/>
        <v>0</v>
      </c>
      <c r="J4" s="229">
        <f t="shared" si="1"/>
        <v>0</v>
      </c>
      <c r="M4" s="229">
        <f t="shared" si="2"/>
        <v>0</v>
      </c>
      <c r="N4" s="229"/>
      <c r="O4" s="229"/>
      <c r="P4" s="229">
        <f t="shared" si="3"/>
        <v>0</v>
      </c>
      <c r="Q4" s="229"/>
      <c r="R4" s="229"/>
    </row>
    <row r="5" spans="1:18">
      <c r="A5" t="str">
        <f>IF(G5&gt;0,基础信息!$B$1,"")</f>
        <v/>
      </c>
      <c r="C5" s="276"/>
      <c r="D5" s="276"/>
      <c r="G5" s="229">
        <f t="shared" si="0"/>
        <v>0</v>
      </c>
      <c r="J5" s="229">
        <f t="shared" si="1"/>
        <v>0</v>
      </c>
      <c r="M5" s="229">
        <f t="shared" si="2"/>
        <v>0</v>
      </c>
      <c r="N5" s="229"/>
      <c r="O5" s="229"/>
      <c r="P5" s="229">
        <f t="shared" si="3"/>
        <v>0</v>
      </c>
      <c r="Q5" s="229"/>
      <c r="R5" s="229"/>
    </row>
    <row r="6" spans="1:18">
      <c r="A6" t="str">
        <f>IF(G6&gt;0,基础信息!$B$1,"")</f>
        <v/>
      </c>
      <c r="C6" s="276"/>
      <c r="D6" s="276"/>
      <c r="G6" s="229">
        <f t="shared" si="0"/>
        <v>0</v>
      </c>
      <c r="J6" s="229">
        <f t="shared" si="1"/>
        <v>0</v>
      </c>
      <c r="M6" s="229">
        <f t="shared" si="2"/>
        <v>0</v>
      </c>
      <c r="P6" s="229">
        <f t="shared" si="3"/>
        <v>0</v>
      </c>
    </row>
    <row r="7" spans="1:18">
      <c r="A7" t="str">
        <f>IF(G7&gt;0,基础信息!$B$1,"")</f>
        <v/>
      </c>
      <c r="C7" s="276"/>
      <c r="D7" s="276"/>
      <c r="G7" s="229">
        <f t="shared" si="0"/>
        <v>0</v>
      </c>
      <c r="J7" s="229">
        <f t="shared" si="1"/>
        <v>0</v>
      </c>
      <c r="M7" s="229">
        <f t="shared" si="2"/>
        <v>0</v>
      </c>
      <c r="P7" s="229">
        <f t="shared" si="3"/>
        <v>0</v>
      </c>
    </row>
    <row r="8" spans="1:18">
      <c r="A8" t="str">
        <f>IF(G8&gt;0,基础信息!$B$1,"")</f>
        <v/>
      </c>
      <c r="C8" s="276"/>
      <c r="D8" s="276"/>
      <c r="G8" s="229">
        <f t="shared" si="0"/>
        <v>0</v>
      </c>
      <c r="J8" s="229">
        <f t="shared" si="1"/>
        <v>0</v>
      </c>
      <c r="M8" s="229">
        <f t="shared" si="2"/>
        <v>0</v>
      </c>
      <c r="P8" s="229">
        <f t="shared" si="3"/>
        <v>0</v>
      </c>
    </row>
    <row r="9" spans="1:18">
      <c r="A9" t="str">
        <f>IF(G9&gt;0,基础信息!$B$1,"")</f>
        <v/>
      </c>
      <c r="C9" s="276"/>
      <c r="D9" s="276"/>
      <c r="G9" s="229">
        <f t="shared" si="0"/>
        <v>0</v>
      </c>
      <c r="J9" s="229">
        <f t="shared" si="1"/>
        <v>0</v>
      </c>
      <c r="M9" s="229">
        <f t="shared" si="2"/>
        <v>0</v>
      </c>
      <c r="P9" s="229">
        <f t="shared" si="3"/>
        <v>0</v>
      </c>
    </row>
    <row r="10" spans="1:18">
      <c r="A10" t="str">
        <f>IF(G10&gt;0,基础信息!$B$1,"")</f>
        <v/>
      </c>
      <c r="C10" s="276"/>
      <c r="D10" s="276"/>
      <c r="G10" s="229">
        <f t="shared" si="0"/>
        <v>0</v>
      </c>
      <c r="J10" s="229">
        <f t="shared" si="1"/>
        <v>0</v>
      </c>
      <c r="M10" s="229">
        <f t="shared" si="2"/>
        <v>0</v>
      </c>
      <c r="P10" s="229">
        <f t="shared" si="3"/>
        <v>0</v>
      </c>
    </row>
    <row r="11" spans="1:18">
      <c r="A11" t="str">
        <f>IF(G11&gt;0,基础信息!$B$1,"")</f>
        <v/>
      </c>
      <c r="C11" s="276"/>
      <c r="D11" s="276"/>
      <c r="G11" s="229">
        <f t="shared" si="0"/>
        <v>0</v>
      </c>
      <c r="J11" s="229">
        <f t="shared" si="1"/>
        <v>0</v>
      </c>
      <c r="M11" s="229">
        <f t="shared" si="2"/>
        <v>0</v>
      </c>
      <c r="P11" s="229">
        <f t="shared" si="3"/>
        <v>0</v>
      </c>
    </row>
    <row r="12" spans="1:18">
      <c r="A12" t="str">
        <f>IF(G12&gt;0,基础信息!$B$1,"")</f>
        <v/>
      </c>
      <c r="C12" s="276"/>
      <c r="D12" s="276"/>
      <c r="G12" s="229">
        <f t="shared" si="0"/>
        <v>0</v>
      </c>
      <c r="J12" s="229">
        <f t="shared" si="1"/>
        <v>0</v>
      </c>
      <c r="M12" s="229">
        <f t="shared" si="2"/>
        <v>0</v>
      </c>
      <c r="P12" s="229">
        <f t="shared" si="3"/>
        <v>0</v>
      </c>
    </row>
    <row r="13" spans="1:18">
      <c r="A13" t="str">
        <f>IF(G13&gt;0,基础信息!$B$1,"")</f>
        <v/>
      </c>
      <c r="C13" s="276"/>
      <c r="D13" s="276"/>
      <c r="G13" s="229">
        <f t="shared" si="0"/>
        <v>0</v>
      </c>
      <c r="J13" s="229">
        <f t="shared" si="1"/>
        <v>0</v>
      </c>
      <c r="M13" s="229">
        <f t="shared" si="2"/>
        <v>0</v>
      </c>
      <c r="P13" s="229">
        <f t="shared" si="3"/>
        <v>0</v>
      </c>
    </row>
    <row r="14" spans="1:18">
      <c r="A14" t="str">
        <f>IF(G14&gt;0,基础信息!$B$1,"")</f>
        <v/>
      </c>
      <c r="C14" s="276"/>
      <c r="D14" s="276"/>
      <c r="G14" s="229">
        <f t="shared" si="0"/>
        <v>0</v>
      </c>
      <c r="J14" s="229">
        <f t="shared" si="1"/>
        <v>0</v>
      </c>
      <c r="M14" s="229">
        <f t="shared" si="2"/>
        <v>0</v>
      </c>
      <c r="P14" s="229">
        <f t="shared" si="3"/>
        <v>0</v>
      </c>
    </row>
    <row r="15" spans="1:18">
      <c r="A15" t="str">
        <f>IF(G15&gt;0,基础信息!$B$1,"")</f>
        <v/>
      </c>
      <c r="C15" s="276"/>
      <c r="D15" s="276"/>
      <c r="G15" s="229">
        <f t="shared" si="0"/>
        <v>0</v>
      </c>
      <c r="J15" s="229">
        <f t="shared" si="1"/>
        <v>0</v>
      </c>
      <c r="M15" s="229">
        <f t="shared" si="2"/>
        <v>0</v>
      </c>
      <c r="P15" s="229">
        <f t="shared" si="3"/>
        <v>0</v>
      </c>
    </row>
    <row r="16" spans="1:18">
      <c r="A16" t="str">
        <f>IF(G16&gt;0,基础信息!$B$1,"")</f>
        <v/>
      </c>
      <c r="C16" s="276"/>
      <c r="D16" s="276"/>
      <c r="G16" s="229">
        <f t="shared" si="0"/>
        <v>0</v>
      </c>
      <c r="J16" s="229">
        <f t="shared" si="1"/>
        <v>0</v>
      </c>
      <c r="M16" s="229">
        <f t="shared" si="2"/>
        <v>0</v>
      </c>
      <c r="P16" s="229">
        <f t="shared" si="3"/>
        <v>0</v>
      </c>
    </row>
    <row r="17" spans="1:16">
      <c r="A17" t="str">
        <f>IF(G17&gt;0,基础信息!$B$1,"")</f>
        <v/>
      </c>
      <c r="C17" s="276"/>
      <c r="D17" s="276"/>
      <c r="G17" s="229">
        <f t="shared" si="0"/>
        <v>0</v>
      </c>
      <c r="J17" s="229">
        <f t="shared" si="1"/>
        <v>0</v>
      </c>
      <c r="M17" s="229">
        <f t="shared" si="2"/>
        <v>0</v>
      </c>
      <c r="P17" s="229">
        <f t="shared" si="3"/>
        <v>0</v>
      </c>
    </row>
    <row r="18" spans="1:16">
      <c r="A18" t="str">
        <f>IF(G18&gt;0,基础信息!$B$1,"")</f>
        <v/>
      </c>
      <c r="C18" s="276"/>
      <c r="D18" s="276"/>
      <c r="G18" s="229">
        <f t="shared" si="0"/>
        <v>0</v>
      </c>
      <c r="J18" s="229">
        <f t="shared" si="1"/>
        <v>0</v>
      </c>
      <c r="M18" s="229">
        <f t="shared" si="2"/>
        <v>0</v>
      </c>
      <c r="P18" s="229">
        <f t="shared" si="3"/>
        <v>0</v>
      </c>
    </row>
    <row r="19" spans="1:16">
      <c r="A19" t="str">
        <f>IF(G19&gt;0,基础信息!$B$1,"")</f>
        <v/>
      </c>
      <c r="C19" s="276"/>
      <c r="D19" s="276"/>
      <c r="G19" s="229">
        <f t="shared" si="0"/>
        <v>0</v>
      </c>
      <c r="J19" s="229">
        <f t="shared" si="1"/>
        <v>0</v>
      </c>
      <c r="M19" s="229">
        <f t="shared" si="2"/>
        <v>0</v>
      </c>
      <c r="P19" s="229">
        <f t="shared" si="3"/>
        <v>0</v>
      </c>
    </row>
    <row r="20" spans="1:16">
      <c r="A20" t="str">
        <f>IF(G20&gt;0,基础信息!$B$1,"")</f>
        <v/>
      </c>
      <c r="C20" s="276"/>
      <c r="D20" s="276"/>
      <c r="G20" s="229">
        <f t="shared" si="0"/>
        <v>0</v>
      </c>
      <c r="J20" s="229">
        <f t="shared" si="1"/>
        <v>0</v>
      </c>
      <c r="M20" s="229">
        <f t="shared" si="2"/>
        <v>0</v>
      </c>
      <c r="P20" s="229">
        <f t="shared" si="3"/>
        <v>0</v>
      </c>
    </row>
    <row r="21" spans="1:16">
      <c r="A21" t="str">
        <f>IF(G21&gt;0,基础信息!$B$1,"")</f>
        <v/>
      </c>
      <c r="C21" s="276"/>
      <c r="D21" s="276"/>
      <c r="G21" s="229">
        <f t="shared" si="0"/>
        <v>0</v>
      </c>
      <c r="J21" s="229">
        <f t="shared" si="1"/>
        <v>0</v>
      </c>
      <c r="M21" s="229">
        <f t="shared" si="2"/>
        <v>0</v>
      </c>
      <c r="P21" s="229">
        <f t="shared" si="3"/>
        <v>0</v>
      </c>
    </row>
    <row r="22" spans="1:16">
      <c r="A22" t="str">
        <f>IF(G22&gt;0,基础信息!$B$1,"")</f>
        <v/>
      </c>
      <c r="C22" s="276"/>
      <c r="D22" s="276"/>
      <c r="G22" s="229">
        <f t="shared" si="0"/>
        <v>0</v>
      </c>
      <c r="J22" s="229">
        <f t="shared" si="1"/>
        <v>0</v>
      </c>
      <c r="M22" s="229">
        <f t="shared" si="2"/>
        <v>0</v>
      </c>
      <c r="P22" s="229">
        <f t="shared" si="3"/>
        <v>0</v>
      </c>
    </row>
    <row r="23" spans="1:16">
      <c r="A23" t="str">
        <f>IF(G23&gt;0,基础信息!$B$1,"")</f>
        <v/>
      </c>
      <c r="C23" s="276"/>
      <c r="D23" s="276"/>
      <c r="G23" s="229">
        <f t="shared" si="0"/>
        <v>0</v>
      </c>
      <c r="J23" s="229">
        <f t="shared" si="1"/>
        <v>0</v>
      </c>
      <c r="M23" s="229">
        <f t="shared" si="2"/>
        <v>0</v>
      </c>
      <c r="P23" s="229">
        <f t="shared" si="3"/>
        <v>0</v>
      </c>
    </row>
    <row r="24" spans="1:16">
      <c r="A24" t="str">
        <f>IF(G24&gt;0,基础信息!$B$1,"")</f>
        <v/>
      </c>
      <c r="C24" s="276"/>
      <c r="D24" s="276"/>
      <c r="G24" s="229">
        <f t="shared" si="0"/>
        <v>0</v>
      </c>
      <c r="J24" s="229">
        <f t="shared" si="1"/>
        <v>0</v>
      </c>
      <c r="M24" s="229">
        <f t="shared" si="2"/>
        <v>0</v>
      </c>
      <c r="P24" s="229">
        <f t="shared" si="3"/>
        <v>0</v>
      </c>
    </row>
    <row r="25" spans="1:16">
      <c r="A25" t="str">
        <f>IF(G25&gt;0,基础信息!$B$1,"")</f>
        <v/>
      </c>
      <c r="C25" s="276"/>
      <c r="D25" s="276"/>
      <c r="G25" s="229">
        <f t="shared" si="0"/>
        <v>0</v>
      </c>
      <c r="J25" s="229">
        <f t="shared" si="1"/>
        <v>0</v>
      </c>
      <c r="M25" s="229">
        <f t="shared" si="2"/>
        <v>0</v>
      </c>
      <c r="P25" s="229">
        <f t="shared" si="3"/>
        <v>0</v>
      </c>
    </row>
    <row r="26" spans="1:16">
      <c r="A26" t="str">
        <f>IF(G26&gt;0,基础信息!$B$1,"")</f>
        <v/>
      </c>
      <c r="C26" s="276"/>
      <c r="D26" s="276"/>
      <c r="G26" s="229">
        <f t="shared" si="0"/>
        <v>0</v>
      </c>
      <c r="J26" s="229">
        <f t="shared" si="1"/>
        <v>0</v>
      </c>
      <c r="M26" s="229">
        <f t="shared" si="2"/>
        <v>0</v>
      </c>
      <c r="P26" s="229">
        <f t="shared" si="3"/>
        <v>0</v>
      </c>
    </row>
    <row r="27" spans="1:16">
      <c r="A27" t="str">
        <f>IF(G27&gt;0,基础信息!$B$1,"")</f>
        <v/>
      </c>
      <c r="C27" s="276"/>
      <c r="D27" s="276"/>
      <c r="G27" s="229">
        <f t="shared" si="0"/>
        <v>0</v>
      </c>
      <c r="J27" s="229">
        <f t="shared" si="1"/>
        <v>0</v>
      </c>
      <c r="M27" s="229">
        <f t="shared" si="2"/>
        <v>0</v>
      </c>
      <c r="P27" s="229">
        <f t="shared" si="3"/>
        <v>0</v>
      </c>
    </row>
    <row r="28" spans="1:16">
      <c r="A28" t="str">
        <f>IF(G28&gt;0,基础信息!$B$1,"")</f>
        <v/>
      </c>
      <c r="C28" s="276"/>
      <c r="D28" s="276"/>
      <c r="G28" s="229">
        <f t="shared" si="0"/>
        <v>0</v>
      </c>
      <c r="J28" s="229">
        <f t="shared" si="1"/>
        <v>0</v>
      </c>
      <c r="M28" s="229">
        <f t="shared" si="2"/>
        <v>0</v>
      </c>
      <c r="P28" s="229">
        <f t="shared" si="3"/>
        <v>0</v>
      </c>
    </row>
    <row r="29" spans="1:16">
      <c r="A29" t="str">
        <f>IF(G29&gt;0,基础信息!$B$1,"")</f>
        <v/>
      </c>
      <c r="C29" s="276"/>
      <c r="D29" s="276"/>
      <c r="G29" s="229">
        <f t="shared" si="0"/>
        <v>0</v>
      </c>
      <c r="J29" s="229">
        <f t="shared" si="1"/>
        <v>0</v>
      </c>
      <c r="M29" s="229">
        <f t="shared" si="2"/>
        <v>0</v>
      </c>
      <c r="P29" s="229">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D134BE-9771-4DC2-94B4-41FF70B6F337}">
          <x14:formula1>
            <xm:f>分类表!$66:$66</xm:f>
          </x14:formula1>
          <xm:sqref>C2:C29</xm:sqref>
        </x14:dataValidation>
        <x14:dataValidation type="list" allowBlank="1" showInputMessage="1" showErrorMessage="1" xr:uid="{D27220D6-3EAF-481E-9DE7-A2DEA5A9168B}">
          <x14:formula1>
            <xm:f>分类表!$20:$20</xm:f>
          </x14:formula1>
          <xm:sqref>D2:D29</xm:sqref>
        </x14:dataValidation>
      </x14:dataValidations>
    </ext>
  </extLst>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EC2B-C522-4EC6-AD7A-F5CAA81EF483}">
  <sheetPr codeName="Sheet175">
    <tabColor rgb="FFFFC000"/>
  </sheetPr>
  <dimension ref="A1:E13"/>
  <sheetViews>
    <sheetView workbookViewId="0">
      <selection activeCell="H18" sqref="H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297</v>
      </c>
      <c r="C1" s="18" t="s">
        <v>298</v>
      </c>
      <c r="D1" s="18" t="s">
        <v>299</v>
      </c>
      <c r="E1" s="18" t="s">
        <v>204</v>
      </c>
    </row>
    <row r="2" spans="1:5">
      <c r="A2" s="18" t="s">
        <v>246</v>
      </c>
      <c r="B2" s="138">
        <f>ROUND(SUMIF(长期应收款减值准备明细表新金融工具!$C:$C,长期应收款坏账准备变动情况新金融工具准则!B$1,长期应收款减值准备明细表新金融工具!$D:$D),2)</f>
        <v>0</v>
      </c>
      <c r="C2" s="138">
        <f>ROUND(SUMIF(长期应收款减值准备明细表新金融工具!$C:$C,长期应收款坏账准备变动情况新金融工具准则!C$1,长期应收款减值准备明细表新金融工具!$D:$D),2)</f>
        <v>0</v>
      </c>
      <c r="D2" s="138">
        <f>ROUND(SUMIF(长期应收款减值准备明细表新金融工具!$C:$C,长期应收款坏账准备变动情况新金融工具准则!D$1,长期应收款减值准备明细表新金融工具!$D:$D),2)</f>
        <v>0</v>
      </c>
      <c r="E2" s="133">
        <f t="shared" ref="E2:E12" si="0">ROUND(SUM(B2:D2),2)</f>
        <v>0</v>
      </c>
    </row>
    <row r="3" spans="1:5">
      <c r="A3" s="18" t="s">
        <v>305</v>
      </c>
      <c r="B3" s="138">
        <f>ROUND(SUMIF(长期应收款减值准备明细表新金融工具!$C:$C,长期应收款坏账准备变动情况新金融工具准则!B$1,长期应收款减值准备明细表新金融工具!$E:$E),2)</f>
        <v>0</v>
      </c>
      <c r="C3" s="138">
        <f>ROUND(SUMIF(长期应收款减值准备明细表新金融工具!$C:$C,长期应收款坏账准备变动情况新金融工具准则!C$1,长期应收款减值准备明细表新金融工具!$E:$E),2)</f>
        <v>0</v>
      </c>
      <c r="D3" s="138">
        <f>ROUND(SUMIF(长期应收款减值准备明细表新金融工具!$C:$C,长期应收款坏账准备变动情况新金融工具准则!D$1,长期应收款减值准备明细表新金融工具!$E:$E),2)</f>
        <v>0</v>
      </c>
      <c r="E3" s="133">
        <f t="shared" si="0"/>
        <v>0</v>
      </c>
    </row>
    <row r="4" spans="1:5">
      <c r="A4" s="57" t="s">
        <v>306</v>
      </c>
      <c r="B4" s="138">
        <f>ROUND(SUMIF(长期应收款减值准备明细表新金融工具!$C:$C,长期应收款坏账准备变动情况新金融工具准则!B$1,长期应收款减值准备明细表新金融工具!$F:$F),2)</f>
        <v>0</v>
      </c>
      <c r="C4" s="138">
        <f>ROUND(SUMIF(长期应收款减值准备明细表新金融工具!$C:$C,长期应收款坏账准备变动情况新金融工具准则!C$1,长期应收款减值准备明细表新金融工具!$F:$F),2)</f>
        <v>0</v>
      </c>
      <c r="D4" s="138">
        <f>ROUND(SUMIF(长期应收款减值准备明细表新金融工具!$C:$C,长期应收款坏账准备变动情况新金融工具准则!D$1,长期应收款减值准备明细表新金融工具!$F:$F),2)</f>
        <v>0</v>
      </c>
      <c r="E4" s="133">
        <f t="shared" si="0"/>
        <v>0</v>
      </c>
    </row>
    <row r="5" spans="1:5">
      <c r="A5" s="57" t="s">
        <v>307</v>
      </c>
      <c r="B5" s="138">
        <f>ROUND(SUMIF(长期应收款减值准备明细表新金融工具!$C:$C,长期应收款坏账准备变动情况新金融工具准则!B$1,长期应收款减值准备明细表新金融工具!$G:$G),2)</f>
        <v>0</v>
      </c>
      <c r="C5" s="138">
        <f>ROUND(SUMIF(长期应收款减值准备明细表新金融工具!$C:$C,长期应收款坏账准备变动情况新金融工具准则!C$1,长期应收款减值准备明细表新金融工具!$G:$G),2)</f>
        <v>0</v>
      </c>
      <c r="D5" s="138">
        <f>ROUND(SUMIF(长期应收款减值准备明细表新金融工具!$C:$C,长期应收款坏账准备变动情况新金融工具准则!D$1,长期应收款减值准备明细表新金融工具!$G:$G),2)</f>
        <v>0</v>
      </c>
      <c r="E5" s="133">
        <f t="shared" si="0"/>
        <v>0</v>
      </c>
    </row>
    <row r="6" spans="1:5">
      <c r="A6" s="57" t="s">
        <v>308</v>
      </c>
      <c r="B6" s="138">
        <f>ROUND(SUMIF(长期应收款减值准备明细表新金融工具!$C:$C,长期应收款坏账准备变动情况新金融工具准则!B$1,长期应收款减值准备明细表新金融工具!$H:$H),2)</f>
        <v>0</v>
      </c>
      <c r="C6" s="138">
        <f>ROUND(SUMIF(长期应收款减值准备明细表新金融工具!$C:$C,长期应收款坏账准备变动情况新金融工具准则!C$1,长期应收款减值准备明细表新金融工具!$H:$H),2)</f>
        <v>0</v>
      </c>
      <c r="D6" s="138">
        <f>ROUND(SUMIF(长期应收款减值准备明细表新金融工具!$C:$C,长期应收款坏账准备变动情况新金融工具准则!D$1,长期应收款减值准备明细表新金融工具!$H:$H),2)</f>
        <v>0</v>
      </c>
      <c r="E6" s="133">
        <f t="shared" si="0"/>
        <v>0</v>
      </c>
    </row>
    <row r="7" spans="1:5">
      <c r="A7" s="57" t="s">
        <v>309</v>
      </c>
      <c r="B7" s="138">
        <f>ROUND(SUMIF(长期应收款减值准备明细表新金融工具!$C:$C,长期应收款坏账准备变动情况新金融工具准则!B$1,长期应收款减值准备明细表新金融工具!$I:$I),2)</f>
        <v>0</v>
      </c>
      <c r="C7" s="138">
        <f>ROUND(SUMIF(长期应收款减值准备明细表新金融工具!$C:$C,长期应收款坏账准备变动情况新金融工具准则!C$1,长期应收款减值准备明细表新金融工具!$I:$I),2)</f>
        <v>0</v>
      </c>
      <c r="D7" s="138">
        <f>ROUND(SUMIF(长期应收款减值准备明细表新金融工具!$C:$C,长期应收款坏账准备变动情况新金融工具准则!D$1,长期应收款减值准备明细表新金融工具!$I:$I),2)</f>
        <v>0</v>
      </c>
      <c r="E7" s="133">
        <f t="shared" si="0"/>
        <v>0</v>
      </c>
    </row>
    <row r="8" spans="1:5">
      <c r="A8" s="18" t="s">
        <v>300</v>
      </c>
      <c r="B8" s="138">
        <f>ROUND(SUMIF(长期应收款减值准备明细表新金融工具!$C:$C,长期应收款坏账准备变动情况新金融工具准则!B$1,长期应收款减值准备明细表新金融工具!$J:$J),2)</f>
        <v>0</v>
      </c>
      <c r="C8" s="138">
        <f>ROUND(SUMIF(长期应收款减值准备明细表新金融工具!$C:$C,长期应收款坏账准备变动情况新金融工具准则!C$1,长期应收款减值准备明细表新金融工具!$J:$J),2)</f>
        <v>0</v>
      </c>
      <c r="D8" s="138">
        <f>ROUND(SUMIF(长期应收款减值准备明细表新金融工具!$C:$C,长期应收款坏账准备变动情况新金融工具准则!D$1,长期应收款减值准备明细表新金融工具!$J:$J),2)</f>
        <v>0</v>
      </c>
      <c r="E8" s="133">
        <f t="shared" si="0"/>
        <v>0</v>
      </c>
    </row>
    <row r="9" spans="1:5">
      <c r="A9" s="18" t="s">
        <v>301</v>
      </c>
      <c r="B9" s="138">
        <f>ROUND(SUMIF(长期应收款减值准备明细表新金融工具!$C:$C,长期应收款坏账准备变动情况新金融工具准则!B$1,长期应收款减值准备明细表新金融工具!$K:$K),2)</f>
        <v>0</v>
      </c>
      <c r="C9" s="138">
        <f>ROUND(SUMIF(长期应收款减值准备明细表新金融工具!$C:$C,长期应收款坏账准备变动情况新金融工具准则!C$1,长期应收款减值准备明细表新金融工具!$K:$K),2)</f>
        <v>0</v>
      </c>
      <c r="D9" s="138">
        <f>ROUND(SUMIF(长期应收款减值准备明细表新金融工具!$C:$C,长期应收款坏账准备变动情况新金融工具准则!D$1,长期应收款减值准备明细表新金融工具!$K:$K),2)</f>
        <v>0</v>
      </c>
      <c r="E9" s="133">
        <f t="shared" si="0"/>
        <v>0</v>
      </c>
    </row>
    <row r="10" spans="1:5">
      <c r="A10" s="18" t="s">
        <v>302</v>
      </c>
      <c r="B10" s="138">
        <f>ROUND(SUMIF(长期应收款减值准备明细表新金融工具!$C:$C,长期应收款坏账准备变动情况新金融工具准则!B$1,长期应收款减值准备明细表新金融工具!$L:$L),2)</f>
        <v>0</v>
      </c>
      <c r="C10" s="138">
        <f>ROUND(SUMIF(长期应收款减值准备明细表新金融工具!$C:$C,长期应收款坏账准备变动情况新金融工具准则!C$1,长期应收款减值准备明细表新金融工具!$L:$L),2)</f>
        <v>0</v>
      </c>
      <c r="D10" s="138">
        <f>ROUND(SUMIF(长期应收款减值准备明细表新金融工具!$C:$C,长期应收款坏账准备变动情况新金融工具准则!D$1,长期应收款减值准备明细表新金融工具!$L:$L),2)</f>
        <v>0</v>
      </c>
      <c r="E10" s="133">
        <f t="shared" si="0"/>
        <v>0</v>
      </c>
    </row>
    <row r="11" spans="1:5">
      <c r="A11" s="18" t="s">
        <v>303</v>
      </c>
      <c r="B11" s="138">
        <f>ROUND(SUMIF(长期应收款减值准备明细表新金融工具!$C:$C,长期应收款坏账准备变动情况新金融工具准则!B$1,长期应收款减值准备明细表新金融工具!$M:$M),2)</f>
        <v>0</v>
      </c>
      <c r="C11" s="138">
        <f>ROUND(SUMIF(长期应收款减值准备明细表新金融工具!$C:$C,长期应收款坏账准备变动情况新金融工具准则!C$1,长期应收款减值准备明细表新金融工具!$M:$M),2)</f>
        <v>0</v>
      </c>
      <c r="D11" s="138">
        <f>ROUND(SUMIF(长期应收款减值准备明细表新金融工具!$C:$C,长期应收款坏账准备变动情况新金融工具准则!D$1,长期应收款减值准备明细表新金融工具!$M:$M),2)</f>
        <v>0</v>
      </c>
      <c r="E11" s="133">
        <f t="shared" si="0"/>
        <v>0</v>
      </c>
    </row>
    <row r="12" spans="1:5">
      <c r="A12" s="18" t="s">
        <v>304</v>
      </c>
      <c r="B12" s="138">
        <f>ROUND(SUMIF(长期应收款减值准备明细表新金融工具!$C:$C,长期应收款坏账准备变动情况新金融工具准则!B$1,长期应收款减值准备明细表新金融工具!$N:$N),2)</f>
        <v>0</v>
      </c>
      <c r="C12" s="138">
        <f>ROUND(SUMIF(长期应收款减值准备明细表新金融工具!$C:$C,长期应收款坏账准备变动情况新金融工具准则!C$1,长期应收款减值准备明细表新金融工具!$N:$N),2)</f>
        <v>0</v>
      </c>
      <c r="D12" s="138">
        <f>ROUND(SUMIF(长期应收款减值准备明细表新金融工具!$C:$C,长期应收款坏账准备变动情况新金融工具准则!D$1,长期应收款减值准备明细表新金融工具!$N:$N),2)</f>
        <v>0</v>
      </c>
      <c r="E12" s="133">
        <f t="shared" si="0"/>
        <v>0</v>
      </c>
    </row>
    <row r="13" spans="1:5">
      <c r="A13" s="18" t="s">
        <v>245</v>
      </c>
      <c r="B13" s="133">
        <f>ROUND(SUM(B4:B12,B2),2)</f>
        <v>0</v>
      </c>
      <c r="C13" s="133">
        <f>ROUND(SUM(C4:C12,C2),2)</f>
        <v>0</v>
      </c>
      <c r="D13" s="133">
        <f>ROUND(SUM(D4:D12,D2),2)</f>
        <v>0</v>
      </c>
      <c r="E13" s="133">
        <f>ROUND(SUM(E4:E12,E2),2)</f>
        <v>0</v>
      </c>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5B16-A70D-4C8B-B294-DFA44D16C1D2}">
  <sheetPr codeName="Sheet176"/>
  <dimension ref="A1:O18"/>
  <sheetViews>
    <sheetView workbookViewId="0">
      <selection activeCell="I29" sqref="I29"/>
    </sheetView>
  </sheetViews>
  <sheetFormatPr defaultRowHeight="13.8"/>
  <cols>
    <col min="2" max="2" width="9.5546875" bestFit="1" customWidth="1"/>
    <col min="3" max="3" width="9.5546875" customWidth="1"/>
    <col min="5" max="9" width="16.109375" style="229" bestFit="1" customWidth="1"/>
    <col min="10" max="11" width="9.5546875" style="229" bestFit="1" customWidth="1"/>
    <col min="12" max="15" width="8.88671875" style="229"/>
  </cols>
  <sheetData>
    <row r="1" spans="1:15">
      <c r="A1" t="s">
        <v>2383</v>
      </c>
      <c r="B1" t="s">
        <v>2223</v>
      </c>
      <c r="C1" t="s">
        <v>3500</v>
      </c>
      <c r="D1" t="s">
        <v>578</v>
      </c>
      <c r="E1" s="229" t="s">
        <v>3495</v>
      </c>
      <c r="F1" s="229" t="s">
        <v>3496</v>
      </c>
      <c r="G1" s="229" t="s">
        <v>3497</v>
      </c>
      <c r="H1" s="229" t="s">
        <v>3498</v>
      </c>
      <c r="I1" s="229" t="s">
        <v>3499</v>
      </c>
      <c r="J1" s="229" t="s">
        <v>300</v>
      </c>
      <c r="K1" s="229" t="s">
        <v>301</v>
      </c>
      <c r="L1" s="229" t="s">
        <v>302</v>
      </c>
      <c r="M1" s="229" t="s">
        <v>303</v>
      </c>
      <c r="N1" s="229" t="s">
        <v>304</v>
      </c>
      <c r="O1" s="229" t="s">
        <v>390</v>
      </c>
    </row>
    <row r="2" spans="1:15">
      <c r="A2" s="229" t="str">
        <f>IF(OR(K2&gt;0,S2&gt;0),基础信息!$B$1,"")</f>
        <v/>
      </c>
      <c r="B2" s="288"/>
      <c r="C2" s="276"/>
      <c r="D2" s="255"/>
      <c r="E2" s="229">
        <f>SUM(F2:I2)</f>
        <v>0</v>
      </c>
      <c r="F2" s="288"/>
      <c r="G2" s="288"/>
      <c r="H2" s="288"/>
      <c r="I2" s="288"/>
      <c r="J2" s="288"/>
      <c r="K2" s="288"/>
      <c r="L2" s="288"/>
      <c r="M2" s="288"/>
      <c r="O2" s="229">
        <f>SUM(F2:N2,D2)</f>
        <v>0</v>
      </c>
    </row>
    <row r="3" spans="1:15">
      <c r="A3" s="229" t="str">
        <f>IF(OR(K3&gt;0,S3&gt;0),基础信息!$B$1,"")</f>
        <v/>
      </c>
      <c r="B3" s="288"/>
      <c r="C3" s="276"/>
      <c r="D3" s="255"/>
      <c r="E3" s="229">
        <f t="shared" ref="E3:E18" si="0">SUM(F3:I3)</f>
        <v>0</v>
      </c>
      <c r="F3" s="288"/>
      <c r="G3" s="288"/>
      <c r="H3" s="288"/>
      <c r="I3" s="288"/>
      <c r="J3" s="288"/>
      <c r="K3" s="288"/>
      <c r="L3" s="288"/>
      <c r="M3" s="288"/>
      <c r="O3" s="229">
        <f t="shared" ref="O3:O18" si="1">SUM(F3:N3,D3)</f>
        <v>0</v>
      </c>
    </row>
    <row r="4" spans="1:15">
      <c r="A4" s="229" t="str">
        <f>IF(OR(K4&gt;0,S4&gt;0),基础信息!$B$1,"")</f>
        <v/>
      </c>
      <c r="B4" s="288"/>
      <c r="C4" s="276"/>
      <c r="D4" s="255"/>
      <c r="E4" s="229">
        <f t="shared" si="0"/>
        <v>0</v>
      </c>
      <c r="F4" s="288"/>
      <c r="G4" s="288"/>
      <c r="H4" s="288"/>
      <c r="I4" s="288"/>
      <c r="J4" s="288"/>
      <c r="K4" s="288"/>
      <c r="L4" s="288"/>
      <c r="M4" s="288"/>
      <c r="O4" s="229">
        <f t="shared" si="1"/>
        <v>0</v>
      </c>
    </row>
    <row r="5" spans="1:15">
      <c r="A5" s="229" t="str">
        <f>IF(OR(K5&gt;0,S5&gt;0),基础信息!$B$1,"")</f>
        <v/>
      </c>
      <c r="B5" s="288"/>
      <c r="C5" s="276"/>
      <c r="D5" s="255"/>
      <c r="E5" s="229">
        <f t="shared" si="0"/>
        <v>0</v>
      </c>
      <c r="F5" s="288"/>
      <c r="G5" s="288"/>
      <c r="H5" s="288"/>
      <c r="I5" s="288"/>
      <c r="J5" s="288"/>
      <c r="K5" s="288"/>
      <c r="L5" s="288"/>
      <c r="M5" s="288"/>
      <c r="O5" s="229">
        <f t="shared" si="1"/>
        <v>0</v>
      </c>
    </row>
    <row r="6" spans="1:15">
      <c r="A6" s="229" t="str">
        <f>IF(OR(K6&gt;0,S6&gt;0),基础信息!$B$1,"")</f>
        <v/>
      </c>
      <c r="B6" s="288"/>
      <c r="C6" s="276"/>
      <c r="D6" s="255"/>
      <c r="E6" s="229">
        <f t="shared" si="0"/>
        <v>0</v>
      </c>
      <c r="F6" s="288"/>
      <c r="G6" s="288"/>
      <c r="H6" s="288"/>
      <c r="I6" s="288"/>
      <c r="J6" s="288"/>
      <c r="K6" s="288"/>
      <c r="L6" s="288"/>
      <c r="M6" s="288"/>
      <c r="O6" s="229">
        <f t="shared" si="1"/>
        <v>0</v>
      </c>
    </row>
    <row r="7" spans="1:15">
      <c r="A7" s="229" t="str">
        <f>IF(OR(K7&gt;0,S7&gt;0),基础信息!$B$1,"")</f>
        <v/>
      </c>
      <c r="B7" s="288"/>
      <c r="C7" s="276"/>
      <c r="D7" s="255"/>
      <c r="E7" s="229">
        <f t="shared" si="0"/>
        <v>0</v>
      </c>
      <c r="F7" s="288"/>
      <c r="G7" s="288"/>
      <c r="H7" s="288"/>
      <c r="I7" s="288"/>
      <c r="J7" s="288"/>
      <c r="K7" s="288"/>
      <c r="L7" s="288"/>
      <c r="M7" s="288"/>
      <c r="O7" s="229">
        <f t="shared" si="1"/>
        <v>0</v>
      </c>
    </row>
    <row r="8" spans="1:15">
      <c r="A8" s="229" t="str">
        <f>IF(OR(K8&gt;0,S8&gt;0),基础信息!$B$1,"")</f>
        <v/>
      </c>
      <c r="B8" s="288"/>
      <c r="C8" s="276"/>
      <c r="D8" s="255"/>
      <c r="E8" s="229">
        <f t="shared" si="0"/>
        <v>0</v>
      </c>
      <c r="F8" s="288"/>
      <c r="G8" s="288"/>
      <c r="H8" s="288"/>
      <c r="I8" s="288"/>
      <c r="J8" s="288"/>
      <c r="K8" s="288"/>
      <c r="L8" s="288"/>
      <c r="M8" s="288"/>
      <c r="O8" s="229">
        <f t="shared" si="1"/>
        <v>0</v>
      </c>
    </row>
    <row r="9" spans="1:15">
      <c r="A9" s="229" t="str">
        <f>IF(OR(K9&gt;0,S9&gt;0),基础信息!$B$1,"")</f>
        <v/>
      </c>
      <c r="B9" s="288"/>
      <c r="C9" s="276"/>
      <c r="D9" s="255"/>
      <c r="E9" s="229">
        <f t="shared" si="0"/>
        <v>0</v>
      </c>
      <c r="F9" s="288"/>
      <c r="G9" s="288"/>
      <c r="H9" s="288"/>
      <c r="I9" s="288"/>
      <c r="J9" s="288"/>
      <c r="K9" s="288"/>
      <c r="L9" s="288"/>
      <c r="M9" s="288"/>
      <c r="O9" s="229">
        <f t="shared" si="1"/>
        <v>0</v>
      </c>
    </row>
    <row r="10" spans="1:15">
      <c r="A10" s="229" t="str">
        <f>IF(OR(K10&gt;0,S10&gt;0),基础信息!$B$1,"")</f>
        <v/>
      </c>
      <c r="B10" s="288"/>
      <c r="C10" s="276"/>
      <c r="D10" s="255"/>
      <c r="E10" s="229">
        <f t="shared" si="0"/>
        <v>0</v>
      </c>
      <c r="F10" s="288"/>
      <c r="G10" s="288"/>
      <c r="H10" s="288"/>
      <c r="I10" s="288"/>
      <c r="J10" s="288"/>
      <c r="K10" s="288"/>
      <c r="L10" s="288"/>
      <c r="M10" s="288"/>
      <c r="O10" s="229">
        <f t="shared" si="1"/>
        <v>0</v>
      </c>
    </row>
    <row r="11" spans="1:15">
      <c r="A11" s="229" t="str">
        <f>IF(OR(K11&gt;0,S11&gt;0),基础信息!$B$1,"")</f>
        <v/>
      </c>
      <c r="B11" s="288"/>
      <c r="C11" s="276"/>
      <c r="D11" s="255"/>
      <c r="E11" s="229">
        <f t="shared" si="0"/>
        <v>0</v>
      </c>
      <c r="F11" s="288"/>
      <c r="G11" s="288"/>
      <c r="H11" s="288"/>
      <c r="I11" s="288"/>
      <c r="J11" s="288"/>
      <c r="K11" s="288"/>
      <c r="L11" s="288"/>
      <c r="M11" s="288"/>
      <c r="O11" s="229">
        <f t="shared" si="1"/>
        <v>0</v>
      </c>
    </row>
    <row r="12" spans="1:15">
      <c r="A12" s="229" t="str">
        <f>IF(OR(K12&gt;0,S12&gt;0),基础信息!$B$1,"")</f>
        <v/>
      </c>
      <c r="B12" s="288"/>
      <c r="C12" s="276"/>
      <c r="D12" s="255"/>
      <c r="E12" s="229">
        <f t="shared" si="0"/>
        <v>0</v>
      </c>
      <c r="F12" s="288"/>
      <c r="G12" s="288"/>
      <c r="H12" s="288"/>
      <c r="I12" s="288"/>
      <c r="J12" s="288"/>
      <c r="K12" s="288"/>
      <c r="L12" s="288"/>
      <c r="M12" s="288"/>
      <c r="O12" s="229">
        <f t="shared" si="1"/>
        <v>0</v>
      </c>
    </row>
    <row r="13" spans="1:15">
      <c r="A13" s="229" t="str">
        <f>IF(OR(K13&gt;0,S13&gt;0),基础信息!$B$1,"")</f>
        <v/>
      </c>
      <c r="B13" s="288"/>
      <c r="C13" s="276"/>
      <c r="D13" s="255"/>
      <c r="E13" s="229">
        <f t="shared" si="0"/>
        <v>0</v>
      </c>
      <c r="F13" s="288"/>
      <c r="G13" s="288"/>
      <c r="H13" s="288"/>
      <c r="I13" s="288"/>
      <c r="J13" s="288"/>
      <c r="K13" s="288"/>
      <c r="L13" s="288"/>
      <c r="M13" s="288"/>
      <c r="O13" s="229">
        <f t="shared" si="1"/>
        <v>0</v>
      </c>
    </row>
    <row r="14" spans="1:15">
      <c r="A14" s="229" t="str">
        <f>IF(OR(K14&gt;0,S14&gt;0),基础信息!$B$1,"")</f>
        <v/>
      </c>
      <c r="B14" s="288"/>
      <c r="C14" s="276"/>
      <c r="D14" s="255"/>
      <c r="E14" s="229">
        <f t="shared" si="0"/>
        <v>0</v>
      </c>
      <c r="F14" s="288"/>
      <c r="G14" s="288"/>
      <c r="H14" s="288"/>
      <c r="I14" s="288"/>
      <c r="J14" s="288"/>
      <c r="K14" s="288"/>
      <c r="L14" s="288"/>
      <c r="M14" s="288"/>
      <c r="O14" s="229">
        <f t="shared" si="1"/>
        <v>0</v>
      </c>
    </row>
    <row r="15" spans="1:15">
      <c r="A15" s="229" t="str">
        <f>IF(OR(K15&gt;0,S15&gt;0),基础信息!$B$1,"")</f>
        <v/>
      </c>
      <c r="B15" s="288"/>
      <c r="C15" s="276"/>
      <c r="D15" s="255"/>
      <c r="E15" s="229">
        <f t="shared" si="0"/>
        <v>0</v>
      </c>
      <c r="F15" s="288"/>
      <c r="G15" s="288"/>
      <c r="H15" s="288"/>
      <c r="I15" s="288"/>
      <c r="J15" s="288"/>
      <c r="K15" s="288"/>
      <c r="L15" s="288"/>
      <c r="M15" s="288"/>
      <c r="O15" s="229">
        <f t="shared" si="1"/>
        <v>0</v>
      </c>
    </row>
    <row r="16" spans="1:15">
      <c r="A16" s="229" t="str">
        <f>IF(OR(K16&gt;0,S16&gt;0),基础信息!$B$1,"")</f>
        <v/>
      </c>
      <c r="B16" s="288"/>
      <c r="C16" s="276"/>
      <c r="D16" s="255"/>
      <c r="E16" s="229">
        <f t="shared" si="0"/>
        <v>0</v>
      </c>
      <c r="F16" s="288"/>
      <c r="G16" s="288"/>
      <c r="H16" s="288"/>
      <c r="I16" s="288"/>
      <c r="J16" s="288"/>
      <c r="K16" s="288"/>
      <c r="L16" s="288"/>
      <c r="M16" s="288"/>
      <c r="O16" s="229">
        <f t="shared" si="1"/>
        <v>0</v>
      </c>
    </row>
    <row r="17" spans="1:15">
      <c r="A17" s="229" t="str">
        <f>IF(OR(K17&gt;0,S17&gt;0),基础信息!$B$1,"")</f>
        <v/>
      </c>
      <c r="B17" s="288"/>
      <c r="C17" s="276"/>
      <c r="D17" s="255"/>
      <c r="E17" s="229">
        <f t="shared" si="0"/>
        <v>0</v>
      </c>
      <c r="F17" s="288"/>
      <c r="G17" s="288"/>
      <c r="H17" s="288"/>
      <c r="I17" s="288"/>
      <c r="J17" s="288"/>
      <c r="K17" s="288"/>
      <c r="L17" s="288"/>
      <c r="M17" s="288"/>
      <c r="O17" s="229">
        <f t="shared" si="1"/>
        <v>0</v>
      </c>
    </row>
    <row r="18" spans="1:15">
      <c r="A18" s="229" t="str">
        <f>IF(OR(K18&gt;0,S18&gt;0),基础信息!$B$1,"")</f>
        <v/>
      </c>
      <c r="B18" s="288"/>
      <c r="C18" s="276"/>
      <c r="D18" s="255"/>
      <c r="E18" s="229">
        <f t="shared" si="0"/>
        <v>0</v>
      </c>
      <c r="F18" s="288"/>
      <c r="G18" s="288"/>
      <c r="H18" s="288"/>
      <c r="I18" s="288"/>
      <c r="J18" s="288"/>
      <c r="K18" s="288"/>
      <c r="L18" s="288"/>
      <c r="M18" s="288"/>
      <c r="O18"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91BD01-15E2-4F5A-81BB-0E5C989B9A48}">
          <x14:formula1>
            <xm:f>分类表!$94:$94</xm:f>
          </x14:formula1>
          <xm:sqref>C2:C18</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codeName="Sheet177">
    <tabColor rgb="FFFFC000"/>
  </sheetPr>
  <dimension ref="A1:C5"/>
  <sheetViews>
    <sheetView workbookViewId="0">
      <selection activeCell="C18" sqref="C18"/>
    </sheetView>
  </sheetViews>
  <sheetFormatPr defaultRowHeight="13.8"/>
  <cols>
    <col min="1" max="4" width="28.44140625" style="18" customWidth="1"/>
    <col min="5" max="16384" width="8.88671875" style="18"/>
  </cols>
  <sheetData>
    <row r="1" spans="1:3" ht="14.4">
      <c r="A1" s="35" t="s">
        <v>3331</v>
      </c>
      <c r="B1" s="35" t="s">
        <v>3353</v>
      </c>
      <c r="C1" s="20" t="s">
        <v>396</v>
      </c>
    </row>
    <row r="2" spans="1:3">
      <c r="A2" s="550" t="s">
        <v>3524</v>
      </c>
      <c r="B2" s="289">
        <f>ROUND(SUMIF(因金融资产转移而终止确认的长期应收款明细表!E:E,A2,因金融资产转移而终止确认的长期应收款明细表!F:F),2)</f>
        <v>0</v>
      </c>
      <c r="C2" s="289">
        <f>ROUND(SUMIF(因金融资产转移而终止确认的长期应收款明细表!E:E,A2,因金融资产转移而终止确认的长期应收款明细表!G:G),2)</f>
        <v>0</v>
      </c>
    </row>
    <row r="3" spans="1:3">
      <c r="A3" s="550" t="s">
        <v>3525</v>
      </c>
      <c r="B3" s="289">
        <f>ROUND(SUMIF(因金融资产转移而终止确认的长期应收款明细表!E:E,A3,因金融资产转移而终止确认的长期应收款明细表!F:F),2)</f>
        <v>0</v>
      </c>
      <c r="C3" s="289">
        <f>ROUND(SUMIF(因金融资产转移而终止确认的长期应收款明细表!E:E,A3,因金融资产转移而终止确认的长期应收款明细表!G:G),2)</f>
        <v>0</v>
      </c>
    </row>
    <row r="4" spans="1:3">
      <c r="A4" s="550" t="s">
        <v>202</v>
      </c>
      <c r="B4" s="289">
        <f>ROUND(SUMIF(因金融资产转移而终止确认的长期应收款明细表!E:E,A4,因金融资产转移而终止确认的长期应收款明细表!F:F),2)</f>
        <v>0</v>
      </c>
      <c r="C4" s="289">
        <f>ROUND(SUMIF(因金融资产转移而终止确认的长期应收款明细表!E:E,A4,因金融资产转移而终止确认的长期应收款明细表!G:G),2)</f>
        <v>0</v>
      </c>
    </row>
    <row r="5" spans="1:3">
      <c r="A5" s="41" t="s">
        <v>204</v>
      </c>
      <c r="B5" s="156">
        <f>ROUND(SUM(B2:B4),2)</f>
        <v>0</v>
      </c>
      <c r="C5" s="156">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217032-A445-4382-9E8E-A420B29BBD95}">
          <x14:formula1>
            <xm:f>分类表!$95:$95</xm:f>
          </x14:formula1>
          <xm:sqref>A2:A4</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B678-59DF-4CCC-BF5A-84C96B78F613}">
  <sheetPr codeName="Sheet178"/>
  <dimension ref="A1:J26"/>
  <sheetViews>
    <sheetView workbookViewId="0">
      <selection activeCell="G14" sqref="G14"/>
    </sheetView>
  </sheetViews>
  <sheetFormatPr defaultRowHeight="13.8"/>
  <cols>
    <col min="1" max="1" width="9.5546875" bestFit="1" customWidth="1"/>
    <col min="2" max="2" width="18.33203125" bestFit="1" customWidth="1"/>
    <col min="5" max="5" width="18.33203125" bestFit="1" customWidth="1"/>
    <col min="6" max="6" width="13.88671875" bestFit="1" customWidth="1"/>
    <col min="7" max="7" width="29.21875" bestFit="1" customWidth="1"/>
    <col min="8" max="8" width="5.5546875" bestFit="1" customWidth="1"/>
    <col min="9" max="9" width="16.109375" bestFit="1" customWidth="1"/>
    <col min="10" max="10" width="5.5546875" bestFit="1" customWidth="1"/>
  </cols>
  <sheetData>
    <row r="1" spans="1:10">
      <c r="A1" t="s">
        <v>2383</v>
      </c>
      <c r="B1" t="s">
        <v>3523</v>
      </c>
      <c r="C1" t="s">
        <v>2344</v>
      </c>
      <c r="D1" t="s">
        <v>3520</v>
      </c>
      <c r="E1" t="s">
        <v>3331</v>
      </c>
      <c r="F1" t="s">
        <v>3521</v>
      </c>
      <c r="G1" t="s">
        <v>396</v>
      </c>
      <c r="H1" t="s">
        <v>2477</v>
      </c>
      <c r="I1" t="s">
        <v>3522</v>
      </c>
      <c r="J1" t="s">
        <v>438</v>
      </c>
    </row>
    <row r="2" spans="1:10">
      <c r="A2" t="str">
        <f>IF(F2&gt;0,基础信息!$B$1,"")</f>
        <v/>
      </c>
      <c r="B2" s="255"/>
      <c r="C2" s="276"/>
      <c r="D2" s="276"/>
      <c r="E2" s="276"/>
      <c r="F2" s="255"/>
      <c r="G2" s="255"/>
      <c r="H2" s="255"/>
      <c r="I2" s="255"/>
      <c r="J2" s="255"/>
    </row>
    <row r="3" spans="1:10">
      <c r="A3" t="str">
        <f>IF(F3&gt;0,基础信息!$B$1,"")</f>
        <v/>
      </c>
      <c r="B3" s="255"/>
      <c r="C3" s="276"/>
      <c r="D3" s="276"/>
      <c r="E3" s="276"/>
      <c r="F3" s="255"/>
      <c r="G3" s="255"/>
      <c r="H3" s="255"/>
      <c r="I3" s="255"/>
      <c r="J3" s="255"/>
    </row>
    <row r="4" spans="1:10">
      <c r="A4" t="str">
        <f>IF(F4&gt;0,基础信息!$B$1,"")</f>
        <v/>
      </c>
      <c r="B4" s="255"/>
      <c r="C4" s="276"/>
      <c r="D4" s="276"/>
      <c r="E4" s="276"/>
      <c r="F4" s="255"/>
      <c r="G4" s="255"/>
      <c r="H4" s="255"/>
      <c r="I4" s="255"/>
      <c r="J4" s="255"/>
    </row>
    <row r="5" spans="1:10">
      <c r="A5" t="str">
        <f>IF(F5&gt;0,基础信息!$B$1,"")</f>
        <v/>
      </c>
      <c r="B5" s="255"/>
      <c r="C5" s="276"/>
      <c r="D5" s="276"/>
      <c r="E5" s="276"/>
      <c r="F5" s="255"/>
      <c r="G5" s="255"/>
      <c r="H5" s="255"/>
      <c r="I5" s="255"/>
      <c r="J5" s="255"/>
    </row>
    <row r="6" spans="1:10">
      <c r="A6" t="str">
        <f>IF(F6&gt;0,基础信息!$B$1,"")</f>
        <v/>
      </c>
      <c r="B6" s="255"/>
      <c r="C6" s="276"/>
      <c r="D6" s="276"/>
      <c r="E6" s="276"/>
      <c r="F6" s="255"/>
      <c r="G6" s="255"/>
      <c r="H6" s="255"/>
      <c r="I6" s="255"/>
      <c r="J6" s="255"/>
    </row>
    <row r="7" spans="1:10">
      <c r="A7" t="str">
        <f>IF(F7&gt;0,基础信息!$B$1,"")</f>
        <v/>
      </c>
      <c r="B7" s="255"/>
      <c r="C7" s="276"/>
      <c r="D7" s="276"/>
      <c r="E7" s="276"/>
      <c r="F7" s="255"/>
      <c r="G7" s="255"/>
      <c r="H7" s="255"/>
      <c r="I7" s="255"/>
      <c r="J7" s="255"/>
    </row>
    <row r="8" spans="1:10">
      <c r="A8" t="str">
        <f>IF(F8&gt;0,基础信息!$B$1,"")</f>
        <v/>
      </c>
      <c r="B8" s="255"/>
      <c r="C8" s="276"/>
      <c r="D8" s="276"/>
      <c r="E8" s="276"/>
      <c r="F8" s="255"/>
      <c r="G8" s="255"/>
      <c r="H8" s="255"/>
      <c r="I8" s="255"/>
      <c r="J8" s="255"/>
    </row>
    <row r="9" spans="1:10">
      <c r="A9" t="str">
        <f>IF(F9&gt;0,基础信息!$B$1,"")</f>
        <v/>
      </c>
      <c r="B9" s="255"/>
      <c r="C9" s="276"/>
      <c r="D9" s="276"/>
      <c r="E9" s="276"/>
      <c r="F9" s="255"/>
      <c r="G9" s="255"/>
      <c r="H9" s="255"/>
      <c r="I9" s="255"/>
      <c r="J9" s="255"/>
    </row>
    <row r="10" spans="1:10">
      <c r="A10" t="str">
        <f>IF(F10&gt;0,基础信息!$B$1,"")</f>
        <v/>
      </c>
      <c r="B10" s="255"/>
      <c r="C10" s="276"/>
      <c r="D10" s="276"/>
      <c r="E10" s="276"/>
      <c r="F10" s="255"/>
      <c r="G10" s="255"/>
      <c r="H10" s="255"/>
      <c r="I10" s="255"/>
      <c r="J10" s="255"/>
    </row>
    <row r="11" spans="1:10">
      <c r="A11" t="str">
        <f>IF(F11&gt;0,基础信息!$B$1,"")</f>
        <v/>
      </c>
      <c r="B11" s="255"/>
      <c r="C11" s="276"/>
      <c r="D11" s="276"/>
      <c r="E11" s="276"/>
      <c r="F11" s="255"/>
      <c r="G11" s="255"/>
      <c r="H11" s="255"/>
      <c r="I11" s="255"/>
      <c r="J11" s="255"/>
    </row>
    <row r="12" spans="1:10">
      <c r="A12" t="str">
        <f>IF(F12&gt;0,基础信息!$B$1,"")</f>
        <v/>
      </c>
      <c r="B12" s="255"/>
      <c r="C12" s="276"/>
      <c r="D12" s="276"/>
      <c r="E12" s="276"/>
      <c r="F12" s="255"/>
      <c r="G12" s="255"/>
      <c r="H12" s="255"/>
      <c r="I12" s="255"/>
      <c r="J12" s="255"/>
    </row>
    <row r="13" spans="1:10">
      <c r="A13" t="str">
        <f>IF(F13&gt;0,基础信息!$B$1,"")</f>
        <v/>
      </c>
      <c r="B13" s="255"/>
      <c r="C13" s="276"/>
      <c r="D13" s="276"/>
      <c r="E13" s="276"/>
      <c r="F13" s="255"/>
      <c r="G13" s="255"/>
      <c r="H13" s="255"/>
      <c r="I13" s="255"/>
      <c r="J13" s="255"/>
    </row>
    <row r="14" spans="1:10">
      <c r="A14" t="str">
        <f>IF(F14&gt;0,基础信息!$B$1,"")</f>
        <v/>
      </c>
      <c r="B14" s="255"/>
      <c r="C14" s="276"/>
      <c r="D14" s="276"/>
      <c r="E14" s="276"/>
      <c r="F14" s="255"/>
      <c r="G14" s="255"/>
      <c r="H14" s="255"/>
      <c r="I14" s="255"/>
      <c r="J14" s="255"/>
    </row>
    <row r="15" spans="1:10">
      <c r="A15" t="str">
        <f>IF(F15&gt;0,基础信息!$B$1,"")</f>
        <v/>
      </c>
      <c r="B15" s="255"/>
      <c r="C15" s="276"/>
      <c r="D15" s="276"/>
      <c r="E15" s="276"/>
      <c r="F15" s="255"/>
      <c r="G15" s="255"/>
      <c r="H15" s="255"/>
      <c r="I15" s="255"/>
      <c r="J15" s="255"/>
    </row>
    <row r="16" spans="1:10">
      <c r="A16" t="str">
        <f>IF(F16&gt;0,基础信息!$B$1,"")</f>
        <v/>
      </c>
      <c r="B16" s="255"/>
      <c r="C16" s="276"/>
      <c r="D16" s="276"/>
      <c r="E16" s="276"/>
      <c r="F16" s="255"/>
      <c r="G16" s="255"/>
      <c r="H16" s="255"/>
      <c r="I16" s="255"/>
      <c r="J16" s="255"/>
    </row>
    <row r="17" spans="1:10">
      <c r="A17" t="str">
        <f>IF(F17&gt;0,基础信息!$B$1,"")</f>
        <v/>
      </c>
      <c r="B17" s="255"/>
      <c r="C17" s="276"/>
      <c r="D17" s="276"/>
      <c r="E17" s="276"/>
      <c r="F17" s="255"/>
      <c r="G17" s="255"/>
      <c r="H17" s="255"/>
      <c r="I17" s="255"/>
      <c r="J17" s="255"/>
    </row>
    <row r="18" spans="1:10">
      <c r="A18" t="str">
        <f>IF(F18&gt;0,基础信息!$B$1,"")</f>
        <v/>
      </c>
      <c r="B18" s="255"/>
      <c r="C18" s="276"/>
      <c r="D18" s="276"/>
      <c r="E18" s="276"/>
      <c r="F18" s="255"/>
      <c r="G18" s="255"/>
      <c r="H18" s="255"/>
      <c r="I18" s="255"/>
      <c r="J18" s="255"/>
    </row>
    <row r="19" spans="1:10">
      <c r="A19" t="str">
        <f>IF(F19&gt;0,基础信息!$B$1,"")</f>
        <v/>
      </c>
      <c r="B19" s="255"/>
      <c r="C19" s="276"/>
      <c r="D19" s="276"/>
      <c r="E19" s="276"/>
      <c r="F19" s="255"/>
      <c r="G19" s="255"/>
      <c r="H19" s="255"/>
      <c r="I19" s="255"/>
      <c r="J19" s="255"/>
    </row>
    <row r="20" spans="1:10">
      <c r="A20" t="str">
        <f>IF(F20&gt;0,基础信息!$B$1,"")</f>
        <v/>
      </c>
      <c r="B20" s="255"/>
      <c r="C20" s="276"/>
      <c r="D20" s="276"/>
      <c r="E20" s="276"/>
      <c r="F20" s="255"/>
      <c r="G20" s="255"/>
      <c r="H20" s="255"/>
      <c r="I20" s="255"/>
      <c r="J20" s="255"/>
    </row>
    <row r="21" spans="1:10">
      <c r="A21" t="str">
        <f>IF(F21&gt;0,基础信息!$B$1,"")</f>
        <v/>
      </c>
      <c r="B21" s="255"/>
      <c r="C21" s="276"/>
      <c r="D21" s="276"/>
      <c r="E21" s="276"/>
      <c r="F21" s="255"/>
      <c r="G21" s="255"/>
      <c r="H21" s="255"/>
      <c r="I21" s="255"/>
      <c r="J21" s="255"/>
    </row>
    <row r="22" spans="1:10">
      <c r="A22" t="str">
        <f>IF(F22&gt;0,基础信息!$B$1,"")</f>
        <v/>
      </c>
      <c r="B22" s="255"/>
      <c r="C22" s="276"/>
      <c r="D22" s="276"/>
      <c r="E22" s="276"/>
      <c r="F22" s="255"/>
      <c r="G22" s="255"/>
      <c r="H22" s="255"/>
      <c r="I22" s="255"/>
      <c r="J22" s="255"/>
    </row>
    <row r="23" spans="1:10">
      <c r="A23" t="str">
        <f>IF(F23&gt;0,基础信息!$B$1,"")</f>
        <v/>
      </c>
      <c r="B23" s="255"/>
      <c r="C23" s="276"/>
      <c r="D23" s="276"/>
      <c r="E23" s="276"/>
      <c r="F23" s="255"/>
      <c r="G23" s="255"/>
      <c r="H23" s="255"/>
      <c r="I23" s="255"/>
      <c r="J23" s="255"/>
    </row>
    <row r="24" spans="1:10">
      <c r="A24" t="str">
        <f>IF(F24&gt;0,基础信息!$B$1,"")</f>
        <v/>
      </c>
      <c r="B24" s="255"/>
      <c r="C24" s="276"/>
      <c r="D24" s="276"/>
      <c r="E24" s="276"/>
      <c r="F24" s="255"/>
      <c r="G24" s="255"/>
      <c r="H24" s="255"/>
      <c r="I24" s="255"/>
      <c r="J24" s="255"/>
    </row>
    <row r="25" spans="1:10">
      <c r="A25" t="str">
        <f>IF(F25&gt;0,基础信息!$B$1,"")</f>
        <v/>
      </c>
      <c r="B25" s="255"/>
      <c r="C25" s="276"/>
      <c r="D25" s="276"/>
      <c r="E25" s="276"/>
      <c r="F25" s="255"/>
      <c r="G25" s="255"/>
      <c r="H25" s="255"/>
      <c r="I25" s="255"/>
      <c r="J25" s="255"/>
    </row>
    <row r="26" spans="1:10">
      <c r="A26" t="str">
        <f>IF(F26&gt;0,基础信息!$B$1,"")</f>
        <v/>
      </c>
      <c r="B26" s="255"/>
      <c r="C26" s="276"/>
      <c r="D26" s="276"/>
      <c r="E26" s="276"/>
      <c r="F26" s="255"/>
      <c r="G26" s="255"/>
      <c r="H26" s="255"/>
      <c r="I26" s="255"/>
      <c r="J26"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5813E6F-8E30-4A66-88CD-167535C7E5CF}">
          <x14:formula1>
            <xm:f>分类表!$66:$66</xm:f>
          </x14:formula1>
          <xm:sqref>C2:C26</xm:sqref>
        </x14:dataValidation>
        <x14:dataValidation type="list" allowBlank="1" showInputMessage="1" showErrorMessage="1" xr:uid="{6974BBA1-C27F-4629-8DEA-649857D9CE67}">
          <x14:formula1>
            <xm:f>分类表!$20:$20</xm:f>
          </x14:formula1>
          <xm:sqref>D2:D26</xm:sqref>
        </x14:dataValidation>
        <x14:dataValidation type="list" allowBlank="1" showInputMessage="1" showErrorMessage="1" xr:uid="{422F1FB9-367A-4CB7-8072-26355BCC88E5}">
          <x14:formula1>
            <xm:f>分类表!$95:$95</xm:f>
          </x14:formula1>
          <xm:sqref>E2:E26</xm:sqref>
        </x14:dataValidation>
      </x14:dataValidations>
    </ext>
  </extLst>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codeName="Sheet179">
    <tabColor rgb="FFFFC000"/>
  </sheetPr>
  <dimension ref="A1:B9"/>
  <sheetViews>
    <sheetView workbookViewId="0">
      <selection activeCell="B3" sqref="B3"/>
    </sheetView>
  </sheetViews>
  <sheetFormatPr defaultRowHeight="13.8"/>
  <cols>
    <col min="1" max="16384" width="8.88671875" style="18"/>
  </cols>
  <sheetData>
    <row r="1" spans="1:2" ht="15.6">
      <c r="A1" s="35" t="s">
        <v>28</v>
      </c>
      <c r="B1" s="542" t="s">
        <v>3350</v>
      </c>
    </row>
    <row r="2" spans="1:2" ht="14.4">
      <c r="A2" s="38" t="s">
        <v>254</v>
      </c>
      <c r="B2" s="39"/>
    </row>
    <row r="3" spans="1:2" ht="14.4">
      <c r="A3" s="265"/>
      <c r="B3" s="274"/>
    </row>
    <row r="4" spans="1:2">
      <c r="A4" s="307"/>
      <c r="B4" s="274"/>
    </row>
    <row r="5" spans="1:2" ht="14.4">
      <c r="A5" s="35" t="s">
        <v>255</v>
      </c>
      <c r="B5" s="39"/>
    </row>
    <row r="6" spans="1:2" ht="14.4">
      <c r="A6" s="38" t="s">
        <v>256</v>
      </c>
      <c r="B6" s="39"/>
    </row>
    <row r="7" spans="1:2" ht="14.4">
      <c r="A7" s="265"/>
      <c r="B7" s="274"/>
    </row>
    <row r="8" spans="1:2">
      <c r="A8" s="307"/>
      <c r="B8" s="274"/>
    </row>
    <row r="9" spans="1:2" ht="14.4">
      <c r="A9" s="35" t="s">
        <v>257</v>
      </c>
      <c r="B9" s="39"/>
    </row>
  </sheetData>
  <phoneticPr fontId="1"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sheetPr codeName="Sheet180">
    <tabColor rgb="FFFFC000"/>
  </sheetPr>
  <dimension ref="A1:E7"/>
  <sheetViews>
    <sheetView workbookViewId="0">
      <selection activeCell="H20" sqref="H20"/>
    </sheetView>
  </sheetViews>
  <sheetFormatPr defaultRowHeight="13.8"/>
  <cols>
    <col min="1" max="1" width="28.21875" style="18" bestFit="1" customWidth="1"/>
    <col min="2" max="16384" width="8.88671875" style="18"/>
  </cols>
  <sheetData>
    <row r="1" spans="1:5">
      <c r="A1" s="18" t="s">
        <v>28</v>
      </c>
      <c r="B1" s="18" t="s">
        <v>200</v>
      </c>
      <c r="C1" s="18" t="s">
        <v>342</v>
      </c>
      <c r="D1" s="18" t="s">
        <v>335</v>
      </c>
      <c r="E1" s="18" t="s">
        <v>199</v>
      </c>
    </row>
    <row r="2" spans="1:5">
      <c r="A2" s="18" t="s">
        <v>3327</v>
      </c>
      <c r="B2" s="136">
        <f>ROUND(SUMIF(长期股权投资明细表!B:B,A2,长期股权投资明细表!F:F),2)</f>
        <v>0</v>
      </c>
      <c r="C2" s="136">
        <f>ROUND(SUMIF(长期股权投资明细表!B:B,A2,长期股权投资明细表!O:O),2)</f>
        <v>0</v>
      </c>
      <c r="D2" s="136">
        <f>ROUND(SUMIF(长期股权投资明细表!B:B,A2,长期股权投资明细表!P:P),2)</f>
        <v>0</v>
      </c>
      <c r="E2" s="1">
        <f>ROUND(B2+C2-D2,2)</f>
        <v>0</v>
      </c>
    </row>
    <row r="3" spans="1:5">
      <c r="A3" s="18" t="s">
        <v>3328</v>
      </c>
      <c r="B3" s="136">
        <f>ROUND(SUMIF(长期股权投资明细表!B:B,A3,长期股权投资明细表!F:F),2)</f>
        <v>0</v>
      </c>
      <c r="C3" s="136">
        <f>ROUND(SUMIF(长期股权投资明细表!B:B,A3,长期股权投资明细表!O:O),2)</f>
        <v>0</v>
      </c>
      <c r="D3" s="136">
        <f>ROUND(SUMIF(长期股权投资明细表!B:B,A3,长期股权投资明细表!P:P),2)</f>
        <v>0</v>
      </c>
      <c r="E3" s="1">
        <f>ROUND(B3+C3-D3,2)</f>
        <v>0</v>
      </c>
    </row>
    <row r="4" spans="1:5">
      <c r="A4" s="18" t="s">
        <v>3329</v>
      </c>
      <c r="B4" s="136">
        <f>ROUND(SUMIF(长期股权投资明细表!B:B,A4,长期股权投资明细表!F:F),2)</f>
        <v>0</v>
      </c>
      <c r="C4" s="136">
        <f>ROUND(SUMIF(长期股权投资明细表!B:B,分类表!#REF!,长期股权投资明细表!O:O),2)</f>
        <v>0</v>
      </c>
      <c r="D4" s="136">
        <f>ROUND(SUMIF(长期股权投资明细表!B:B,分类表!#REF!,长期股权投资明细表!P:P),2)</f>
        <v>0</v>
      </c>
      <c r="E4" s="1">
        <f>ROUND(B4+C4-D4,2)</f>
        <v>0</v>
      </c>
    </row>
    <row r="5" spans="1:5">
      <c r="A5" s="18" t="s">
        <v>546</v>
      </c>
      <c r="B5" s="136">
        <f>ROUND(SUM(B2:B4),2)</f>
        <v>0</v>
      </c>
      <c r="C5" s="136">
        <f>ROUND(SUM(C2:C4),2)</f>
        <v>0</v>
      </c>
      <c r="D5" s="136">
        <f>ROUND(SUM(D2:D4),2)</f>
        <v>0</v>
      </c>
      <c r="E5" s="1">
        <f>ROUND(SUM(E2:E4),2)</f>
        <v>0</v>
      </c>
    </row>
    <row r="6" spans="1:5">
      <c r="A6" s="18" t="s">
        <v>3330</v>
      </c>
      <c r="B6" s="136">
        <f>ROUND(SUM(长期股权投资明细表!R:R),2)</f>
        <v>0</v>
      </c>
      <c r="C6" s="136">
        <f>ROUND(SUM(长期股权投资明细表!S:S),2)</f>
        <v>0</v>
      </c>
      <c r="D6" s="136">
        <f>ROUND(SUM(长期股权投资明细表!T:T),2)</f>
        <v>0</v>
      </c>
      <c r="E6" s="1">
        <f>ROUND(B6+C6-D6,2)</f>
        <v>0</v>
      </c>
    </row>
    <row r="7" spans="1:5">
      <c r="A7" s="18" t="s">
        <v>204</v>
      </c>
      <c r="B7" s="1">
        <f>ROUND(B5-B6,2)</f>
        <v>0</v>
      </c>
      <c r="C7" s="1">
        <f>ROUND(C5-C6,2)</f>
        <v>0</v>
      </c>
      <c r="D7" s="1">
        <f>ROUND(D5-D6,2)</f>
        <v>0</v>
      </c>
      <c r="E7" s="1">
        <f>ROUND(E5-E6,2)</f>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FAE0-27A1-485A-B1FC-1C6D1D4AD1E9}">
  <sheetPr codeName="Sheet181">
    <tabColor rgb="FFFFC000"/>
  </sheetPr>
  <dimension ref="A1:G6"/>
  <sheetViews>
    <sheetView workbookViewId="0">
      <selection activeCell="G17" sqref="G17"/>
    </sheetView>
  </sheetViews>
  <sheetFormatPr defaultRowHeight="13.8"/>
  <cols>
    <col min="1" max="1" width="11.6640625" bestFit="1" customWidth="1"/>
    <col min="2" max="2" width="7.5546875" bestFit="1" customWidth="1"/>
    <col min="3" max="4" width="9.5546875" bestFit="1" customWidth="1"/>
    <col min="5" max="5" width="7.5546875" bestFit="1" customWidth="1"/>
    <col min="6" max="6" width="18.33203125" bestFit="1" customWidth="1"/>
    <col min="7" max="7" width="16.109375" bestFit="1" customWidth="1"/>
  </cols>
  <sheetData>
    <row r="1" spans="1:7">
      <c r="A1" t="s">
        <v>389</v>
      </c>
      <c r="B1" t="s">
        <v>265</v>
      </c>
      <c r="C1" t="s">
        <v>359</v>
      </c>
      <c r="D1" t="s">
        <v>477</v>
      </c>
      <c r="E1" t="s">
        <v>203</v>
      </c>
      <c r="F1" t="s">
        <v>3355</v>
      </c>
      <c r="G1" t="s">
        <v>3356</v>
      </c>
    </row>
    <row r="2" spans="1:7">
      <c r="A2" s="255"/>
      <c r="B2" s="255"/>
      <c r="C2" s="255"/>
      <c r="D2" s="255"/>
      <c r="E2" s="255"/>
      <c r="F2" s="255"/>
      <c r="G2" s="255"/>
    </row>
    <row r="3" spans="1:7">
      <c r="A3" s="255"/>
      <c r="B3" s="255"/>
      <c r="C3" s="255"/>
      <c r="D3" s="255"/>
      <c r="E3" s="255"/>
      <c r="F3" s="255"/>
      <c r="G3" s="255"/>
    </row>
    <row r="4" spans="1:7">
      <c r="A4" s="255"/>
      <c r="B4" s="255"/>
      <c r="C4" s="255"/>
      <c r="D4" s="255"/>
      <c r="E4" s="255"/>
      <c r="F4" s="255"/>
      <c r="G4" s="255"/>
    </row>
    <row r="5" spans="1:7">
      <c r="A5" s="255"/>
      <c r="B5" s="255"/>
      <c r="C5" s="255"/>
      <c r="D5" s="255"/>
      <c r="E5" s="255"/>
      <c r="F5" s="255"/>
      <c r="G5" s="255"/>
    </row>
    <row r="6" spans="1:7">
      <c r="A6" t="s">
        <v>262</v>
      </c>
      <c r="B6">
        <f t="shared" ref="B6:G6" si="0">ROUND(SUM(B2:B5),2)</f>
        <v>0</v>
      </c>
      <c r="C6">
        <f t="shared" si="0"/>
        <v>0</v>
      </c>
      <c r="D6">
        <f t="shared" si="0"/>
        <v>0</v>
      </c>
      <c r="E6">
        <f t="shared" si="0"/>
        <v>0</v>
      </c>
      <c r="F6">
        <f t="shared" si="0"/>
        <v>0</v>
      </c>
      <c r="G6">
        <f t="shared" si="0"/>
        <v>0</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codeName="Sheet182">
    <tabColor rgb="FFFFC000"/>
  </sheetPr>
  <dimension ref="A1:L4"/>
  <sheetViews>
    <sheetView workbookViewId="0">
      <selection activeCell="G17" sqref="G17"/>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389</v>
      </c>
      <c r="B1" s="32" t="s">
        <v>3345</v>
      </c>
      <c r="C1" s="20" t="s">
        <v>398</v>
      </c>
      <c r="D1" s="20" t="s">
        <v>399</v>
      </c>
      <c r="E1" s="35" t="s">
        <v>400</v>
      </c>
      <c r="F1" s="35" t="s">
        <v>401</v>
      </c>
      <c r="G1" s="35" t="s">
        <v>402</v>
      </c>
      <c r="H1" s="20" t="s">
        <v>406</v>
      </c>
      <c r="I1" s="35" t="s">
        <v>407</v>
      </c>
      <c r="J1" s="35" t="s">
        <v>202</v>
      </c>
      <c r="K1" s="32" t="s">
        <v>3350</v>
      </c>
      <c r="L1" s="32" t="s">
        <v>405</v>
      </c>
    </row>
    <row r="2" spans="1:12">
      <c r="A2" s="282"/>
      <c r="B2" s="264"/>
      <c r="C2" s="278"/>
      <c r="D2" s="278"/>
      <c r="E2" s="264"/>
      <c r="F2" s="264"/>
      <c r="G2" s="264"/>
      <c r="H2" s="278"/>
      <c r="I2" s="264"/>
      <c r="J2" s="264"/>
      <c r="K2" s="278">
        <f>ROUND(B2+C2-D2+E2+F2+G2-H2-I2+J2,2)</f>
        <v>0</v>
      </c>
      <c r="L2" s="275"/>
    </row>
    <row r="3" spans="1:12">
      <c r="A3" s="282"/>
      <c r="B3" s="264"/>
      <c r="C3" s="278"/>
      <c r="D3" s="278"/>
      <c r="E3" s="264"/>
      <c r="F3" s="264"/>
      <c r="G3" s="264"/>
      <c r="H3" s="278"/>
      <c r="I3" s="264"/>
      <c r="J3" s="264"/>
      <c r="K3" s="278">
        <f>ROUND(B3+C3-D3+E3+F3+G3-H3-I3+J3,2)</f>
        <v>0</v>
      </c>
      <c r="L3" s="275"/>
    </row>
    <row r="4" spans="1:12" ht="14.4">
      <c r="A4" s="20" t="s">
        <v>3354</v>
      </c>
      <c r="B4" s="156">
        <f t="shared" ref="B4:L4" si="0">ROUND(SUM(B2:B3),2)</f>
        <v>0</v>
      </c>
      <c r="C4" s="156">
        <f t="shared" si="0"/>
        <v>0</v>
      </c>
      <c r="D4" s="156">
        <f t="shared" si="0"/>
        <v>0</v>
      </c>
      <c r="E4" s="156">
        <f t="shared" si="0"/>
        <v>0</v>
      </c>
      <c r="F4" s="156">
        <f t="shared" si="0"/>
        <v>0</v>
      </c>
      <c r="G4" s="156">
        <f t="shared" si="0"/>
        <v>0</v>
      </c>
      <c r="H4" s="156">
        <f t="shared" si="0"/>
        <v>0</v>
      </c>
      <c r="I4" s="156">
        <f t="shared" si="0"/>
        <v>0</v>
      </c>
      <c r="J4" s="156">
        <f t="shared" si="0"/>
        <v>0</v>
      </c>
      <c r="K4" s="156">
        <f t="shared" si="0"/>
        <v>0</v>
      </c>
      <c r="L4" s="156">
        <f t="shared" si="0"/>
        <v>0</v>
      </c>
    </row>
  </sheetData>
  <phoneticPr fontId="1"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sheetPr codeName="Sheet16"/>
  <dimension ref="A1:O34"/>
  <sheetViews>
    <sheetView workbookViewId="0">
      <pane xSplit="1" ySplit="1" topLeftCell="B2" activePane="bottomRight" state="frozen"/>
      <selection pane="topRight" activeCell="B1" sqref="B1"/>
      <selection pane="bottomLeft" activeCell="A2" sqref="A2"/>
      <selection pane="bottomRight" activeCell="J34" sqref="J34"/>
    </sheetView>
  </sheetViews>
  <sheetFormatPr defaultRowHeight="11.4"/>
  <cols>
    <col min="1" max="1" width="35.6640625" style="142" bestFit="1" customWidth="1"/>
    <col min="2" max="2" width="15.33203125" style="142" bestFit="1" customWidth="1"/>
    <col min="3" max="5" width="6.5546875" style="142" bestFit="1" customWidth="1"/>
    <col min="6" max="6" width="8.109375" style="142" bestFit="1" customWidth="1"/>
    <col min="7" max="7" width="9" style="142" bestFit="1" customWidth="1"/>
    <col min="8" max="8" width="11.44140625" style="142" bestFit="1" customWidth="1"/>
    <col min="9" max="9" width="8.109375" style="142" bestFit="1" customWidth="1"/>
    <col min="10" max="10" width="8" style="142" bestFit="1" customWidth="1"/>
    <col min="11" max="11" width="13.44140625" style="142" bestFit="1" customWidth="1"/>
    <col min="12" max="12" width="15.109375" style="142" bestFit="1" customWidth="1"/>
    <col min="13" max="13" width="24.33203125" style="142" bestFit="1" customWidth="1"/>
    <col min="14" max="14" width="14.21875" style="142" bestFit="1" customWidth="1"/>
    <col min="15" max="15" width="15.109375" style="142" bestFit="1" customWidth="1"/>
    <col min="16" max="16384" width="8.88671875" style="142"/>
  </cols>
  <sheetData>
    <row r="1" spans="1:15">
      <c r="A1" s="141" t="s">
        <v>1481</v>
      </c>
      <c r="B1" s="141" t="s">
        <v>1482</v>
      </c>
      <c r="C1" s="141" t="s">
        <v>1057</v>
      </c>
      <c r="D1" s="141" t="s">
        <v>1483</v>
      </c>
      <c r="E1" s="141" t="s">
        <v>391</v>
      </c>
      <c r="F1" s="141" t="s">
        <v>1484</v>
      </c>
      <c r="G1" s="141" t="s">
        <v>1485</v>
      </c>
      <c r="H1" s="141" t="s">
        <v>69</v>
      </c>
      <c r="I1" s="141" t="s">
        <v>1486</v>
      </c>
      <c r="J1" s="141" t="s">
        <v>71</v>
      </c>
      <c r="K1" s="141" t="s">
        <v>1487</v>
      </c>
      <c r="L1" s="141" t="s">
        <v>73</v>
      </c>
      <c r="M1" s="141" t="s">
        <v>1488</v>
      </c>
      <c r="N1" s="141" t="s">
        <v>1489</v>
      </c>
      <c r="O1" s="141" t="s">
        <v>1490</v>
      </c>
    </row>
    <row r="2" spans="1:15">
      <c r="A2" s="143" t="s">
        <v>1470</v>
      </c>
      <c r="B2" s="144">
        <f>ROUND(上期所有者权益变动表!B34,2)</f>
        <v>0</v>
      </c>
      <c r="C2" s="144">
        <f>ROUND(上期所有者权益变动表!C34,2)</f>
        <v>0</v>
      </c>
      <c r="D2" s="144">
        <f>ROUND(上期所有者权益变动表!D34,2)</f>
        <v>0</v>
      </c>
      <c r="E2" s="144">
        <f>ROUND(上期所有者权益变动表!E34,2)</f>
        <v>0</v>
      </c>
      <c r="F2" s="144">
        <f>ROUND(上期所有者权益变动表!F34,2)</f>
        <v>0</v>
      </c>
      <c r="G2" s="144">
        <f>ROUND(上期所有者权益变动表!G34,2)</f>
        <v>0</v>
      </c>
      <c r="H2" s="144">
        <f>ROUND(上期所有者权益变动表!H34,2)</f>
        <v>0</v>
      </c>
      <c r="I2" s="144">
        <f>ROUND(上期所有者权益变动表!I34,2)</f>
        <v>0</v>
      </c>
      <c r="J2" s="144">
        <f>ROUND(上期所有者权益变动表!J34,2)</f>
        <v>0</v>
      </c>
      <c r="K2" s="144">
        <f>ROUND(上期所有者权益变动表!K34,2)</f>
        <v>0</v>
      </c>
      <c r="L2" s="144">
        <f>ROUND(上期所有者权益变动表!L34,2)</f>
        <v>0</v>
      </c>
      <c r="M2" s="145">
        <f>ROUND(SUM(B2:L2),2)</f>
        <v>0</v>
      </c>
      <c r="N2" s="144">
        <f>ROUND(上期所有者权益变动表!N34,2)</f>
        <v>0</v>
      </c>
      <c r="O2" s="145">
        <f>ROUND(M2+N2,2)</f>
        <v>0</v>
      </c>
    </row>
    <row r="3" spans="1:15">
      <c r="A3" s="146" t="s">
        <v>1471</v>
      </c>
      <c r="B3" s="144"/>
      <c r="C3" s="144"/>
      <c r="D3" s="144"/>
      <c r="E3" s="144"/>
      <c r="F3" s="144"/>
      <c r="G3" s="144"/>
      <c r="H3" s="144"/>
      <c r="I3" s="144"/>
      <c r="J3" s="144"/>
      <c r="K3" s="144"/>
      <c r="L3" s="144"/>
      <c r="M3" s="145">
        <f t="shared" ref="M3:M34" si="0">ROUND(SUM(B3:L3),2)</f>
        <v>0</v>
      </c>
      <c r="N3" s="144"/>
      <c r="O3" s="145">
        <f t="shared" ref="O3:O34" si="1">ROUND(M3+N3,2)</f>
        <v>0</v>
      </c>
    </row>
    <row r="4" spans="1:15">
      <c r="A4" s="146" t="s">
        <v>1472</v>
      </c>
      <c r="B4" s="144"/>
      <c r="C4" s="144"/>
      <c r="D4" s="144"/>
      <c r="E4" s="144"/>
      <c r="F4" s="144"/>
      <c r="G4" s="144"/>
      <c r="H4" s="144"/>
      <c r="I4" s="144"/>
      <c r="J4" s="144"/>
      <c r="K4" s="144"/>
      <c r="L4" s="144"/>
      <c r="M4" s="145">
        <f t="shared" si="0"/>
        <v>0</v>
      </c>
      <c r="N4" s="144"/>
      <c r="O4" s="145">
        <f t="shared" si="1"/>
        <v>0</v>
      </c>
    </row>
    <row r="5" spans="1:15">
      <c r="A5" s="146" t="s">
        <v>4595</v>
      </c>
      <c r="B5" s="144"/>
      <c r="C5" s="144"/>
      <c r="D5" s="144"/>
      <c r="E5" s="144"/>
      <c r="F5" s="144"/>
      <c r="G5" s="144"/>
      <c r="H5" s="144"/>
      <c r="I5" s="144"/>
      <c r="J5" s="144"/>
      <c r="K5" s="144"/>
      <c r="L5" s="144"/>
      <c r="M5" s="145">
        <f t="shared" si="0"/>
        <v>0</v>
      </c>
      <c r="N5" s="144"/>
      <c r="O5" s="145">
        <f t="shared" si="1"/>
        <v>0</v>
      </c>
    </row>
    <row r="6" spans="1:15">
      <c r="A6" s="143" t="s">
        <v>1473</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0</v>
      </c>
      <c r="M6" s="145">
        <f t="shared" si="0"/>
        <v>0</v>
      </c>
      <c r="N6" s="145">
        <f t="shared" si="2"/>
        <v>0</v>
      </c>
      <c r="O6" s="145">
        <f t="shared" si="1"/>
        <v>0</v>
      </c>
    </row>
    <row r="7" spans="1:15" ht="21.6">
      <c r="A7" s="147" t="s">
        <v>3138</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0</v>
      </c>
      <c r="M7" s="145">
        <f t="shared" si="0"/>
        <v>0</v>
      </c>
      <c r="N7" s="145">
        <f t="shared" si="3"/>
        <v>0</v>
      </c>
      <c r="O7" s="145">
        <f t="shared" si="1"/>
        <v>0</v>
      </c>
    </row>
    <row r="8" spans="1:15">
      <c r="A8" s="146" t="s">
        <v>1475</v>
      </c>
      <c r="B8" s="144"/>
      <c r="C8" s="144"/>
      <c r="D8" s="144"/>
      <c r="E8" s="144"/>
      <c r="F8" s="144"/>
      <c r="G8" s="144"/>
      <c r="H8" s="144">
        <f>ROUND(本期TB!H216,2)</f>
        <v>0</v>
      </c>
      <c r="I8" s="144"/>
      <c r="J8" s="144"/>
      <c r="K8" s="144"/>
      <c r="L8" s="144">
        <f>ROUND(本期TB!H213,2)</f>
        <v>0</v>
      </c>
      <c r="M8" s="145">
        <f t="shared" si="0"/>
        <v>0</v>
      </c>
      <c r="N8" s="144">
        <f>ROUND(本期TB!H236,2)</f>
        <v>0</v>
      </c>
      <c r="O8" s="145">
        <f t="shared" si="1"/>
        <v>0</v>
      </c>
    </row>
    <row r="9" spans="1:15">
      <c r="A9" s="146" t="s">
        <v>1476</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146" t="s">
        <v>1524</v>
      </c>
      <c r="B10" s="144"/>
      <c r="C10" s="144"/>
      <c r="D10" s="144"/>
      <c r="E10" s="144"/>
      <c r="F10" s="144"/>
      <c r="G10" s="144"/>
      <c r="H10" s="144"/>
      <c r="I10" s="144"/>
      <c r="J10" s="144"/>
      <c r="K10" s="144"/>
      <c r="L10" s="144"/>
      <c r="M10" s="145">
        <f t="shared" si="0"/>
        <v>0</v>
      </c>
      <c r="N10" s="144"/>
      <c r="O10" s="145">
        <f t="shared" si="1"/>
        <v>0</v>
      </c>
    </row>
    <row r="11" spans="1:15">
      <c r="A11" s="146" t="s">
        <v>1525</v>
      </c>
      <c r="B11" s="144"/>
      <c r="C11" s="144"/>
      <c r="D11" s="144"/>
      <c r="E11" s="144"/>
      <c r="F11" s="144"/>
      <c r="G11" s="144"/>
      <c r="H11" s="144"/>
      <c r="I11" s="144"/>
      <c r="J11" s="144"/>
      <c r="K11" s="144"/>
      <c r="L11" s="144"/>
      <c r="M11" s="145">
        <f t="shared" si="0"/>
        <v>0</v>
      </c>
      <c r="N11" s="144"/>
      <c r="O11" s="145">
        <f t="shared" si="1"/>
        <v>0</v>
      </c>
    </row>
    <row r="12" spans="1:15">
      <c r="A12" s="146" t="s">
        <v>1526</v>
      </c>
      <c r="B12" s="144"/>
      <c r="C12" s="144"/>
      <c r="D12" s="144"/>
      <c r="E12" s="144"/>
      <c r="F12" s="144"/>
      <c r="G12" s="144"/>
      <c r="H12" s="144"/>
      <c r="I12" s="144"/>
      <c r="J12" s="144"/>
      <c r="K12" s="144"/>
      <c r="L12" s="144"/>
      <c r="M12" s="145">
        <f t="shared" si="0"/>
        <v>0</v>
      </c>
      <c r="N12" s="144"/>
      <c r="O12" s="145">
        <f t="shared" si="1"/>
        <v>0</v>
      </c>
    </row>
    <row r="13" spans="1:15">
      <c r="A13" s="146" t="s">
        <v>4594</v>
      </c>
      <c r="B13" s="144"/>
      <c r="C13" s="144"/>
      <c r="D13" s="144"/>
      <c r="E13" s="144"/>
      <c r="F13" s="144"/>
      <c r="G13" s="144"/>
      <c r="H13" s="144"/>
      <c r="I13" s="144"/>
      <c r="J13" s="144"/>
      <c r="K13" s="144"/>
      <c r="L13" s="144"/>
      <c r="M13" s="145">
        <f t="shared" si="0"/>
        <v>0</v>
      </c>
      <c r="N13" s="144"/>
      <c r="O13" s="145">
        <f t="shared" si="1"/>
        <v>0</v>
      </c>
    </row>
    <row r="14" spans="1:15">
      <c r="A14" s="146" t="s">
        <v>3142</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146" t="s">
        <v>1527</v>
      </c>
      <c r="B15" s="144"/>
      <c r="C15" s="144"/>
      <c r="D15" s="144"/>
      <c r="E15" s="144"/>
      <c r="F15" s="144"/>
      <c r="G15" s="144"/>
      <c r="H15" s="144"/>
      <c r="I15" s="144"/>
      <c r="J15" s="144"/>
      <c r="K15" s="144"/>
      <c r="L15" s="144"/>
      <c r="M15" s="145">
        <f t="shared" si="0"/>
        <v>0</v>
      </c>
      <c r="N15" s="144"/>
      <c r="O15" s="145">
        <f t="shared" si="1"/>
        <v>0</v>
      </c>
    </row>
    <row r="16" spans="1:15">
      <c r="A16" s="146" t="s">
        <v>1528</v>
      </c>
      <c r="B16" s="144"/>
      <c r="C16" s="144"/>
      <c r="D16" s="144"/>
      <c r="E16" s="144"/>
      <c r="F16" s="144"/>
      <c r="G16" s="144"/>
      <c r="H16" s="144"/>
      <c r="I16" s="144"/>
      <c r="J16" s="144"/>
      <c r="K16" s="144"/>
      <c r="L16" s="144"/>
      <c r="M16" s="145">
        <f t="shared" si="0"/>
        <v>0</v>
      </c>
      <c r="N16" s="144"/>
      <c r="O16" s="145">
        <f t="shared" si="1"/>
        <v>0</v>
      </c>
    </row>
    <row r="17" spans="1:15">
      <c r="A17" s="146" t="s">
        <v>3139</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146" t="s">
        <v>1529</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146" t="s">
        <v>1401</v>
      </c>
      <c r="B19" s="144"/>
      <c r="C19" s="144"/>
      <c r="D19" s="144"/>
      <c r="E19" s="144"/>
      <c r="F19" s="144"/>
      <c r="G19" s="144"/>
      <c r="H19" s="144"/>
      <c r="I19" s="144"/>
      <c r="J19" s="144">
        <f>ROUND(本期TB!H244,2)</f>
        <v>0</v>
      </c>
      <c r="K19" s="144"/>
      <c r="L19" s="144">
        <f>ROUND(-J19,2)</f>
        <v>0</v>
      </c>
      <c r="M19" s="145">
        <f t="shared" si="0"/>
        <v>0</v>
      </c>
      <c r="N19" s="144"/>
      <c r="O19" s="145">
        <f t="shared" si="1"/>
        <v>0</v>
      </c>
    </row>
    <row r="20" spans="1:15">
      <c r="A20" s="146" t="s">
        <v>1402</v>
      </c>
      <c r="B20" s="144"/>
      <c r="C20" s="144"/>
      <c r="D20" s="144"/>
      <c r="E20" s="144"/>
      <c r="F20" s="144"/>
      <c r="G20" s="144"/>
      <c r="H20" s="144"/>
      <c r="I20" s="144"/>
      <c r="J20" s="144">
        <f>ROUND(本期TB!H252,2)</f>
        <v>0</v>
      </c>
      <c r="K20" s="144"/>
      <c r="L20" s="144">
        <f>ROUND(-J20,2)</f>
        <v>0</v>
      </c>
      <c r="M20" s="145">
        <f t="shared" si="0"/>
        <v>0</v>
      </c>
      <c r="N20" s="144"/>
      <c r="O20" s="145">
        <f t="shared" si="1"/>
        <v>0</v>
      </c>
    </row>
    <row r="21" spans="1:15">
      <c r="A21" s="146" t="s">
        <v>1403</v>
      </c>
      <c r="B21" s="144"/>
      <c r="C21" s="144"/>
      <c r="D21" s="144"/>
      <c r="E21" s="144"/>
      <c r="F21" s="144"/>
      <c r="G21" s="144"/>
      <c r="H21" s="144"/>
      <c r="I21" s="144"/>
      <c r="J21" s="144">
        <f>ROUND(本期TB!H247,2)</f>
        <v>0</v>
      </c>
      <c r="K21" s="144"/>
      <c r="L21" s="144">
        <f>ROUND(-J21,2)</f>
        <v>0</v>
      </c>
      <c r="M21" s="145">
        <f t="shared" si="0"/>
        <v>0</v>
      </c>
      <c r="N21" s="144"/>
      <c r="O21" s="145">
        <f t="shared" si="1"/>
        <v>0</v>
      </c>
    </row>
    <row r="22" spans="1:15">
      <c r="A22" s="146" t="s">
        <v>1404</v>
      </c>
      <c r="B22" s="144"/>
      <c r="C22" s="144"/>
      <c r="D22" s="144"/>
      <c r="E22" s="144"/>
      <c r="F22" s="144"/>
      <c r="G22" s="144"/>
      <c r="H22" s="144"/>
      <c r="I22" s="144"/>
      <c r="J22" s="144">
        <f>ROUND(本期TB!H248,2)</f>
        <v>0</v>
      </c>
      <c r="K22" s="144"/>
      <c r="L22" s="144">
        <f>ROUND(-J22,2)</f>
        <v>0</v>
      </c>
      <c r="M22" s="145">
        <f t="shared" si="0"/>
        <v>0</v>
      </c>
      <c r="N22" s="144"/>
      <c r="O22" s="145">
        <f t="shared" si="1"/>
        <v>0</v>
      </c>
    </row>
    <row r="23" spans="1:15">
      <c r="A23" s="146" t="s">
        <v>1405</v>
      </c>
      <c r="B23" s="144"/>
      <c r="C23" s="144"/>
      <c r="D23" s="144"/>
      <c r="E23" s="144"/>
      <c r="F23" s="144"/>
      <c r="G23" s="144"/>
      <c r="H23" s="144"/>
      <c r="I23" s="144"/>
      <c r="J23" s="144">
        <f>ROUND(本期TB!H249,2)</f>
        <v>0</v>
      </c>
      <c r="K23" s="144"/>
      <c r="L23" s="144">
        <f>ROUND(-J23,2)</f>
        <v>0</v>
      </c>
      <c r="M23" s="145">
        <f t="shared" si="0"/>
        <v>0</v>
      </c>
      <c r="N23" s="144"/>
      <c r="O23" s="145">
        <f t="shared" si="1"/>
        <v>0</v>
      </c>
    </row>
    <row r="24" spans="1:15">
      <c r="A24" s="146" t="s">
        <v>1530</v>
      </c>
      <c r="B24" s="144"/>
      <c r="C24" s="144"/>
      <c r="D24" s="144"/>
      <c r="E24" s="144"/>
      <c r="F24" s="144"/>
      <c r="G24" s="144"/>
      <c r="H24" s="144"/>
      <c r="I24" s="144"/>
      <c r="J24" s="144"/>
      <c r="K24" s="144"/>
      <c r="L24" s="144"/>
      <c r="M24" s="145">
        <f t="shared" si="0"/>
        <v>0</v>
      </c>
      <c r="N24" s="144"/>
      <c r="O24" s="145">
        <f t="shared" si="1"/>
        <v>0</v>
      </c>
    </row>
    <row r="25" spans="1:15">
      <c r="A25" s="146" t="s">
        <v>1531</v>
      </c>
      <c r="B25" s="144"/>
      <c r="C25" s="144"/>
      <c r="D25" s="144"/>
      <c r="E25" s="144"/>
      <c r="F25" s="144"/>
      <c r="G25" s="144"/>
      <c r="H25" s="144"/>
      <c r="I25" s="144"/>
      <c r="J25" s="144"/>
      <c r="K25" s="144"/>
      <c r="L25" s="144">
        <f>ROUND(-本期TB!H253,2)</f>
        <v>0</v>
      </c>
      <c r="M25" s="145">
        <f t="shared" si="0"/>
        <v>0</v>
      </c>
      <c r="N25" s="144"/>
      <c r="O25" s="145">
        <f t="shared" si="1"/>
        <v>0</v>
      </c>
    </row>
    <row r="26" spans="1:15">
      <c r="A26" s="146" t="s">
        <v>4593</v>
      </c>
      <c r="B26" s="144"/>
      <c r="C26" s="144"/>
      <c r="D26" s="144"/>
      <c r="E26" s="144"/>
      <c r="F26" s="144"/>
      <c r="G26" s="144"/>
      <c r="H26" s="144"/>
      <c r="I26" s="144"/>
      <c r="J26" s="144"/>
      <c r="K26" s="144"/>
      <c r="L26" s="144"/>
      <c r="M26" s="145">
        <f t="shared" si="0"/>
        <v>0</v>
      </c>
      <c r="N26" s="144"/>
      <c r="O26" s="145">
        <f t="shared" si="1"/>
        <v>0</v>
      </c>
    </row>
    <row r="27" spans="1:15">
      <c r="A27" s="146" t="s">
        <v>3140</v>
      </c>
      <c r="B27" s="145">
        <f>ROUND(SUM(B28:B33),2)</f>
        <v>0</v>
      </c>
      <c r="C27" s="145">
        <f t="shared" ref="C27:N27" si="8">ROUND(SUM(C28:C33),2)</f>
        <v>0</v>
      </c>
      <c r="D27" s="145">
        <f t="shared" si="8"/>
        <v>0</v>
      </c>
      <c r="E27" s="145">
        <f t="shared" si="8"/>
        <v>0</v>
      </c>
      <c r="F27" s="145">
        <f t="shared" si="8"/>
        <v>0</v>
      </c>
      <c r="G27" s="145">
        <f t="shared" si="8"/>
        <v>0</v>
      </c>
      <c r="H27" s="145">
        <f t="shared" si="8"/>
        <v>0</v>
      </c>
      <c r="I27" s="145">
        <f t="shared" si="8"/>
        <v>0</v>
      </c>
      <c r="J27" s="145">
        <f t="shared" si="8"/>
        <v>0</v>
      </c>
      <c r="K27" s="145">
        <f t="shared" si="8"/>
        <v>0</v>
      </c>
      <c r="L27" s="145">
        <f>ROUND(SUM(L28:L33),2)</f>
        <v>0</v>
      </c>
      <c r="M27" s="145">
        <f t="shared" si="0"/>
        <v>0</v>
      </c>
      <c r="N27" s="145">
        <f t="shared" si="8"/>
        <v>0</v>
      </c>
      <c r="O27" s="145">
        <f t="shared" si="1"/>
        <v>0</v>
      </c>
    </row>
    <row r="28" spans="1:15">
      <c r="A28" s="146" t="s">
        <v>1532</v>
      </c>
      <c r="B28" s="144"/>
      <c r="C28" s="144"/>
      <c r="D28" s="144"/>
      <c r="E28" s="144"/>
      <c r="F28" s="144"/>
      <c r="G28" s="144"/>
      <c r="H28" s="144"/>
      <c r="I28" s="144"/>
      <c r="J28" s="144"/>
      <c r="K28" s="144"/>
      <c r="L28" s="144"/>
      <c r="M28" s="145">
        <f t="shared" si="0"/>
        <v>0</v>
      </c>
      <c r="N28" s="144"/>
      <c r="O28" s="145">
        <f t="shared" si="1"/>
        <v>0</v>
      </c>
    </row>
    <row r="29" spans="1:15">
      <c r="A29" s="146" t="s">
        <v>1533</v>
      </c>
      <c r="B29" s="144"/>
      <c r="C29" s="144"/>
      <c r="D29" s="144"/>
      <c r="E29" s="148"/>
      <c r="F29" s="144"/>
      <c r="G29" s="144"/>
      <c r="H29" s="144"/>
      <c r="I29" s="144"/>
      <c r="J29" s="144"/>
      <c r="K29" s="144"/>
      <c r="L29" s="144"/>
      <c r="M29" s="145">
        <f t="shared" si="0"/>
        <v>0</v>
      </c>
      <c r="N29" s="144"/>
      <c r="O29" s="145">
        <f t="shared" si="1"/>
        <v>0</v>
      </c>
    </row>
    <row r="30" spans="1:15">
      <c r="A30" s="146" t="s">
        <v>1534</v>
      </c>
      <c r="B30" s="144"/>
      <c r="C30" s="144"/>
      <c r="D30" s="144"/>
      <c r="E30" s="144"/>
      <c r="F30" s="144"/>
      <c r="G30" s="144"/>
      <c r="H30" s="144"/>
      <c r="I30" s="144"/>
      <c r="J30" s="144"/>
      <c r="K30" s="144"/>
      <c r="L30" s="144"/>
      <c r="M30" s="145">
        <f t="shared" si="0"/>
        <v>0</v>
      </c>
      <c r="N30" s="144"/>
      <c r="O30" s="145">
        <f t="shared" si="1"/>
        <v>0</v>
      </c>
    </row>
    <row r="31" spans="1:15">
      <c r="A31" s="146" t="s">
        <v>1535</v>
      </c>
      <c r="B31" s="144"/>
      <c r="C31" s="144"/>
      <c r="D31" s="144"/>
      <c r="E31" s="144"/>
      <c r="F31" s="144"/>
      <c r="G31" s="144"/>
      <c r="H31" s="144"/>
      <c r="I31" s="144"/>
      <c r="J31" s="144"/>
      <c r="K31" s="144"/>
      <c r="L31" s="144"/>
      <c r="M31" s="145">
        <f t="shared" si="0"/>
        <v>0</v>
      </c>
      <c r="N31" s="144"/>
      <c r="O31" s="145">
        <f t="shared" si="1"/>
        <v>0</v>
      </c>
    </row>
    <row r="32" spans="1:15">
      <c r="A32" s="146" t="s">
        <v>3141</v>
      </c>
      <c r="B32" s="144"/>
      <c r="C32" s="144"/>
      <c r="D32" s="144"/>
      <c r="E32" s="144"/>
      <c r="F32" s="144"/>
      <c r="G32" s="144"/>
      <c r="H32" s="144"/>
      <c r="I32" s="144"/>
      <c r="J32" s="144"/>
      <c r="K32" s="144"/>
      <c r="L32" s="144"/>
      <c r="M32" s="145">
        <f t="shared" ref="M32" si="9">ROUND(SUM(B32:L32),2)</f>
        <v>0</v>
      </c>
      <c r="N32" s="144"/>
      <c r="O32" s="145">
        <f t="shared" ref="O32" si="10">ROUND(M32+N32,2)</f>
        <v>0</v>
      </c>
    </row>
    <row r="33" spans="1:15">
      <c r="A33" s="146" t="s">
        <v>4592</v>
      </c>
      <c r="B33" s="144"/>
      <c r="C33" s="144"/>
      <c r="D33" s="144"/>
      <c r="E33" s="144"/>
      <c r="F33" s="144"/>
      <c r="G33" s="144"/>
      <c r="H33" s="144"/>
      <c r="I33" s="144"/>
      <c r="J33" s="144"/>
      <c r="K33" s="144"/>
      <c r="L33" s="144"/>
      <c r="M33" s="145">
        <f t="shared" si="0"/>
        <v>0</v>
      </c>
      <c r="N33" s="144"/>
      <c r="O33" s="145">
        <f t="shared" si="1"/>
        <v>0</v>
      </c>
    </row>
    <row r="34" spans="1:15">
      <c r="A34" s="143" t="s">
        <v>3143</v>
      </c>
      <c r="B34" s="149">
        <f>ROUND(B6+B7,2)</f>
        <v>0</v>
      </c>
      <c r="C34" s="149">
        <f t="shared" ref="C34:N34" si="11">ROUND(C6+C7,2)</f>
        <v>0</v>
      </c>
      <c r="D34" s="149">
        <f t="shared" si="11"/>
        <v>0</v>
      </c>
      <c r="E34" s="149">
        <f t="shared" si="11"/>
        <v>0</v>
      </c>
      <c r="F34" s="149">
        <f t="shared" si="11"/>
        <v>0</v>
      </c>
      <c r="G34" s="149">
        <f t="shared" si="11"/>
        <v>0</v>
      </c>
      <c r="H34" s="149">
        <f t="shared" si="11"/>
        <v>0</v>
      </c>
      <c r="I34" s="149">
        <f t="shared" si="11"/>
        <v>0</v>
      </c>
      <c r="J34" s="149">
        <f t="shared" si="11"/>
        <v>0</v>
      </c>
      <c r="K34" s="149">
        <f t="shared" si="11"/>
        <v>0</v>
      </c>
      <c r="L34" s="149">
        <f t="shared" si="11"/>
        <v>0</v>
      </c>
      <c r="M34" s="145">
        <f t="shared" si="0"/>
        <v>0</v>
      </c>
      <c r="N34" s="149">
        <f t="shared" si="11"/>
        <v>0</v>
      </c>
      <c r="O34" s="145">
        <f t="shared" si="1"/>
        <v>0</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34D2-1277-4ABA-87B6-694E0A94DF1A}">
  <sheetPr codeName="Sheet183">
    <tabColor rgb="FFFFC000"/>
  </sheetPr>
  <dimension ref="A1:L4"/>
  <sheetViews>
    <sheetView workbookViewId="0">
      <selection activeCell="F15" sqref="F15"/>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389</v>
      </c>
      <c r="B1" s="32" t="s">
        <v>3345</v>
      </c>
      <c r="C1" s="20" t="s">
        <v>398</v>
      </c>
      <c r="D1" s="20" t="s">
        <v>399</v>
      </c>
      <c r="E1" s="35" t="s">
        <v>400</v>
      </c>
      <c r="F1" s="35" t="s">
        <v>401</v>
      </c>
      <c r="G1" s="35" t="s">
        <v>402</v>
      </c>
      <c r="H1" s="20" t="s">
        <v>406</v>
      </c>
      <c r="I1" s="35" t="s">
        <v>407</v>
      </c>
      <c r="J1" s="35" t="s">
        <v>202</v>
      </c>
      <c r="K1" s="32" t="s">
        <v>3350</v>
      </c>
      <c r="L1" s="32" t="s">
        <v>405</v>
      </c>
    </row>
    <row r="2" spans="1:12">
      <c r="A2" s="282"/>
      <c r="B2" s="264"/>
      <c r="C2" s="278"/>
      <c r="D2" s="278"/>
      <c r="E2" s="264"/>
      <c r="F2" s="264"/>
      <c r="G2" s="264"/>
      <c r="H2" s="278"/>
      <c r="I2" s="264"/>
      <c r="J2" s="264"/>
      <c r="K2" s="278">
        <f>ROUND(B2+C2-D2+E2+F2+G2-H2-I2+J2,2)</f>
        <v>0</v>
      </c>
      <c r="L2" s="275"/>
    </row>
    <row r="3" spans="1:12">
      <c r="A3" s="282"/>
      <c r="B3" s="264"/>
      <c r="C3" s="278"/>
      <c r="D3" s="278"/>
      <c r="E3" s="264"/>
      <c r="F3" s="264"/>
      <c r="G3" s="264"/>
      <c r="H3" s="278"/>
      <c r="I3" s="264"/>
      <c r="J3" s="264"/>
      <c r="K3" s="278">
        <f>ROUND(B3+C3-D3+E3+F3+G3-H3-I3+J3,2)</f>
        <v>0</v>
      </c>
      <c r="L3" s="275"/>
    </row>
    <row r="4" spans="1:12" ht="14.4">
      <c r="A4" s="20" t="s">
        <v>262</v>
      </c>
      <c r="B4" s="156">
        <f t="shared" ref="B4:K4" si="0">ROUND(SUM(B2:B3),2)</f>
        <v>0</v>
      </c>
      <c r="C4" s="156">
        <f t="shared" si="0"/>
        <v>0</v>
      </c>
      <c r="D4" s="156">
        <f t="shared" si="0"/>
        <v>0</v>
      </c>
      <c r="E4" s="156">
        <f t="shared" si="0"/>
        <v>0</v>
      </c>
      <c r="F4" s="156">
        <f t="shared" si="0"/>
        <v>0</v>
      </c>
      <c r="G4" s="156">
        <f t="shared" si="0"/>
        <v>0</v>
      </c>
      <c r="H4" s="156">
        <f t="shared" si="0"/>
        <v>0</v>
      </c>
      <c r="I4" s="156">
        <f t="shared" si="0"/>
        <v>0</v>
      </c>
      <c r="J4" s="156">
        <f t="shared" si="0"/>
        <v>0</v>
      </c>
      <c r="K4" s="156">
        <f t="shared" si="0"/>
        <v>0</v>
      </c>
      <c r="L4" s="50"/>
    </row>
  </sheetData>
  <phoneticPr fontId="1" type="noConversion"/>
  <pageMargins left="0.7" right="0.7" top="0.75" bottom="0.75" header="0.3" footer="0.3"/>
  <pageSetup paperSize="9" orientation="portrait" verticalDpi="0" r:id="rId1"/>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codeName="Sheet184">
    <tabColor rgb="FFFFC000"/>
  </sheetPr>
  <dimension ref="A1:G8"/>
  <sheetViews>
    <sheetView workbookViewId="0">
      <selection activeCell="A6" sqref="A6"/>
    </sheetView>
  </sheetViews>
  <sheetFormatPr defaultRowHeight="13.8"/>
  <cols>
    <col min="1" max="1" width="16.109375" bestFit="1" customWidth="1"/>
    <col min="2" max="2" width="19.6640625" customWidth="1"/>
  </cols>
  <sheetData>
    <row r="1" spans="1:7" ht="28.8">
      <c r="A1" s="537" t="s">
        <v>3097</v>
      </c>
      <c r="B1" s="537" t="s">
        <v>3098</v>
      </c>
      <c r="C1" s="32" t="s">
        <v>3100</v>
      </c>
      <c r="D1" s="32" t="s">
        <v>3101</v>
      </c>
      <c r="E1" s="32" t="s">
        <v>3102</v>
      </c>
      <c r="F1" s="32" t="s">
        <v>3103</v>
      </c>
      <c r="G1" s="20" t="s">
        <v>139</v>
      </c>
    </row>
    <row r="2" spans="1:7" ht="15">
      <c r="A2" s="277" t="s">
        <v>403</v>
      </c>
      <c r="B2" s="277"/>
      <c r="C2" s="277"/>
      <c r="D2" s="277"/>
      <c r="E2" s="277"/>
      <c r="F2" s="277"/>
      <c r="G2" s="277"/>
    </row>
    <row r="3" spans="1:7" ht="15">
      <c r="A3" s="277" t="s">
        <v>3099</v>
      </c>
      <c r="B3" s="277"/>
      <c r="C3" s="277"/>
      <c r="D3" s="277"/>
      <c r="E3" s="277"/>
      <c r="F3" s="277"/>
      <c r="G3" s="277"/>
    </row>
    <row r="4" spans="1:7" ht="15">
      <c r="A4" s="277"/>
      <c r="B4" s="277"/>
      <c r="C4" s="277"/>
      <c r="D4" s="277"/>
      <c r="E4" s="277"/>
      <c r="F4" s="277"/>
      <c r="G4" s="277"/>
    </row>
    <row r="5" spans="1:7" ht="15">
      <c r="A5" s="277" t="s">
        <v>404</v>
      </c>
      <c r="B5" s="277"/>
      <c r="C5" s="277"/>
      <c r="D5" s="277"/>
      <c r="E5" s="277"/>
      <c r="F5" s="277"/>
      <c r="G5" s="277"/>
    </row>
    <row r="6" spans="1:7" ht="15">
      <c r="A6" s="277" t="s">
        <v>3099</v>
      </c>
      <c r="B6" s="277"/>
      <c r="C6" s="277"/>
      <c r="D6" s="277"/>
      <c r="E6" s="277"/>
      <c r="F6" s="277"/>
      <c r="G6" s="277"/>
    </row>
    <row r="7" spans="1:7" ht="15">
      <c r="A7" s="277"/>
      <c r="B7" s="277"/>
      <c r="C7" s="277"/>
      <c r="D7" s="277"/>
      <c r="E7" s="277"/>
      <c r="F7" s="277"/>
      <c r="G7" s="277"/>
    </row>
    <row r="8" spans="1:7">
      <c r="A8" s="255"/>
      <c r="B8" s="255"/>
      <c r="C8" s="255"/>
      <c r="D8" s="255"/>
      <c r="E8" s="255"/>
      <c r="F8" s="255"/>
      <c r="G8" s="255"/>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codeName="Sheet185">
    <tabColor rgb="FFFFC000"/>
  </sheetPr>
  <dimension ref="A1:C5"/>
  <sheetViews>
    <sheetView workbookViewId="0">
      <selection activeCell="D25" sqref="D25"/>
    </sheetView>
  </sheetViews>
  <sheetFormatPr defaultRowHeight="13.8"/>
  <cols>
    <col min="1" max="1" width="23.88671875" customWidth="1"/>
    <col min="2" max="2" width="16.109375" customWidth="1"/>
    <col min="3" max="3" width="17.33203125" customWidth="1"/>
  </cols>
  <sheetData>
    <row r="1" spans="1:3" ht="45">
      <c r="A1" s="72" t="s">
        <v>3104</v>
      </c>
      <c r="B1" s="72" t="s">
        <v>3105</v>
      </c>
      <c r="C1" s="20" t="s">
        <v>3357</v>
      </c>
    </row>
    <row r="2" spans="1:3" ht="15">
      <c r="A2" s="277"/>
      <c r="B2" s="277"/>
      <c r="C2" s="277"/>
    </row>
    <row r="3" spans="1:3" ht="15">
      <c r="A3" s="277"/>
      <c r="B3" s="277"/>
      <c r="C3" s="277"/>
    </row>
    <row r="4" spans="1:3">
      <c r="A4" s="255"/>
      <c r="B4" s="255"/>
      <c r="C4" s="255"/>
    </row>
    <row r="5" spans="1:3">
      <c r="A5" s="255"/>
      <c r="B5" s="255"/>
      <c r="C5" s="255"/>
    </row>
  </sheetData>
  <phoneticPr fontId="1" type="noConversion"/>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sheetPr codeName="Sheet186"/>
  <dimension ref="A1:W30"/>
  <sheetViews>
    <sheetView workbookViewId="0">
      <pane xSplit="1" ySplit="1" topLeftCell="B2" activePane="bottomRight" state="frozen"/>
      <selection activeCell="D22" sqref="D22"/>
      <selection pane="topRight" activeCell="D22" sqref="D22"/>
      <selection pane="bottomLeft" activeCell="D22" sqref="D22"/>
      <selection pane="bottomRight" activeCell="G24" sqref="G24"/>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2438</v>
      </c>
      <c r="B1" t="s">
        <v>2359</v>
      </c>
      <c r="C1" t="s">
        <v>222</v>
      </c>
      <c r="D1" t="s">
        <v>381</v>
      </c>
      <c r="E1" t="s">
        <v>2439</v>
      </c>
      <c r="F1" t="s">
        <v>2440</v>
      </c>
      <c r="G1" t="s">
        <v>2428</v>
      </c>
      <c r="H1" t="s">
        <v>398</v>
      </c>
      <c r="I1" t="s">
        <v>399</v>
      </c>
      <c r="J1" t="s">
        <v>400</v>
      </c>
      <c r="K1" t="s">
        <v>401</v>
      </c>
      <c r="L1" t="s">
        <v>402</v>
      </c>
      <c r="M1" t="s">
        <v>406</v>
      </c>
      <c r="N1" t="s">
        <v>202</v>
      </c>
      <c r="O1" t="s">
        <v>359</v>
      </c>
      <c r="P1" t="s">
        <v>477</v>
      </c>
      <c r="Q1" t="s">
        <v>2441</v>
      </c>
      <c r="R1" t="s">
        <v>2432</v>
      </c>
      <c r="S1" t="s">
        <v>2436</v>
      </c>
      <c r="T1" t="s">
        <v>2437</v>
      </c>
      <c r="U1" t="s">
        <v>2433</v>
      </c>
      <c r="V1" t="s">
        <v>265</v>
      </c>
      <c r="W1" t="s">
        <v>203</v>
      </c>
    </row>
    <row r="2" spans="1:23">
      <c r="A2" t="str">
        <f>IF(D2&gt;0,基础信息!$B$1,"")</f>
        <v/>
      </c>
      <c r="B2" s="276"/>
      <c r="C2" s="255"/>
      <c r="D2" s="255"/>
      <c r="E2" s="255"/>
      <c r="F2" s="255"/>
      <c r="G2" s="255"/>
      <c r="H2" s="255"/>
      <c r="I2" s="255"/>
      <c r="J2" s="255"/>
      <c r="K2" s="255"/>
      <c r="L2" s="255"/>
      <c r="M2" s="255"/>
      <c r="N2" s="255"/>
      <c r="O2">
        <f t="shared" ref="O2:O9" si="0">G2+H2+J2+K2+L2+N2</f>
        <v>0</v>
      </c>
      <c r="P2">
        <f>I2+M2</f>
        <v>0</v>
      </c>
      <c r="Q2">
        <f t="shared" ref="Q2:Q9" si="1">F2+G2+H2-I2+J2+K2+L2-M2+N2</f>
        <v>0</v>
      </c>
      <c r="R2" s="255"/>
      <c r="S2" s="255"/>
      <c r="T2" s="255"/>
      <c r="U2">
        <f>R2+S2-T2</f>
        <v>0</v>
      </c>
      <c r="V2">
        <f>F2-R2</f>
        <v>0</v>
      </c>
      <c r="W2">
        <f>Q2-U2</f>
        <v>0</v>
      </c>
    </row>
    <row r="3" spans="1:23">
      <c r="A3" t="str">
        <f>IF(D3&gt;0,基础信息!$B$1,"")</f>
        <v/>
      </c>
      <c r="B3" s="276"/>
      <c r="C3" s="255"/>
      <c r="D3" s="255"/>
      <c r="E3" s="255"/>
      <c r="F3" s="255"/>
      <c r="G3" s="255"/>
      <c r="H3" s="255"/>
      <c r="I3" s="255"/>
      <c r="J3" s="255"/>
      <c r="K3" s="255"/>
      <c r="L3" s="255"/>
      <c r="M3" s="255"/>
      <c r="N3" s="255"/>
      <c r="O3">
        <f t="shared" si="0"/>
        <v>0</v>
      </c>
      <c r="P3">
        <v>0</v>
      </c>
      <c r="Q3">
        <f t="shared" si="1"/>
        <v>0</v>
      </c>
      <c r="R3" s="255"/>
      <c r="S3" s="255"/>
      <c r="T3" s="255"/>
      <c r="U3">
        <f t="shared" ref="U3:U13" si="2">R3+S3-T3</f>
        <v>0</v>
      </c>
      <c r="V3">
        <f t="shared" ref="V3:V13" si="3">F3-R3</f>
        <v>0</v>
      </c>
      <c r="W3">
        <f t="shared" ref="W3:W13" si="4">Q3-U3</f>
        <v>0</v>
      </c>
    </row>
    <row r="4" spans="1:23">
      <c r="A4" t="str">
        <f>IF(D4&gt;0,基础信息!$B$1,"")</f>
        <v/>
      </c>
      <c r="B4" s="276"/>
      <c r="C4" s="255"/>
      <c r="D4" s="255"/>
      <c r="E4" s="255"/>
      <c r="F4" s="255"/>
      <c r="G4" s="255"/>
      <c r="H4" s="255"/>
      <c r="I4" s="255"/>
      <c r="J4" s="255"/>
      <c r="K4" s="255"/>
      <c r="L4" s="255"/>
      <c r="M4" s="255"/>
      <c r="N4" s="255"/>
      <c r="O4">
        <f t="shared" si="0"/>
        <v>0</v>
      </c>
      <c r="P4">
        <f t="shared" ref="P4:P9" si="5">I4+M4</f>
        <v>0</v>
      </c>
      <c r="Q4">
        <f t="shared" si="1"/>
        <v>0</v>
      </c>
      <c r="R4" s="255"/>
      <c r="S4" s="255"/>
      <c r="T4" s="255"/>
      <c r="U4">
        <f t="shared" si="2"/>
        <v>0</v>
      </c>
      <c r="V4">
        <f t="shared" si="3"/>
        <v>0</v>
      </c>
      <c r="W4">
        <f t="shared" si="4"/>
        <v>0</v>
      </c>
    </row>
    <row r="5" spans="1:23">
      <c r="A5" t="str">
        <f>IF(D5&gt;0,基础信息!$B$1,"")</f>
        <v/>
      </c>
      <c r="B5" s="276"/>
      <c r="C5" s="255"/>
      <c r="D5" s="255"/>
      <c r="E5" s="255"/>
      <c r="F5" s="255"/>
      <c r="G5" s="255"/>
      <c r="H5" s="255"/>
      <c r="I5" s="255"/>
      <c r="J5" s="255"/>
      <c r="K5" s="255"/>
      <c r="L5" s="255"/>
      <c r="M5" s="255"/>
      <c r="N5" s="255"/>
      <c r="O5">
        <f t="shared" si="0"/>
        <v>0</v>
      </c>
      <c r="P5">
        <f t="shared" si="5"/>
        <v>0</v>
      </c>
      <c r="Q5">
        <f t="shared" si="1"/>
        <v>0</v>
      </c>
      <c r="R5" s="255"/>
      <c r="S5" s="255"/>
      <c r="T5" s="255"/>
      <c r="U5">
        <f t="shared" si="2"/>
        <v>0</v>
      </c>
      <c r="V5">
        <f t="shared" si="3"/>
        <v>0</v>
      </c>
      <c r="W5">
        <f t="shared" si="4"/>
        <v>0</v>
      </c>
    </row>
    <row r="6" spans="1:23">
      <c r="A6" t="str">
        <f>IF(D6&gt;0,基础信息!$B$1,"")</f>
        <v/>
      </c>
      <c r="B6" s="276"/>
      <c r="C6" s="255"/>
      <c r="D6" s="255"/>
      <c r="E6" s="255"/>
      <c r="F6" s="255"/>
      <c r="G6" s="255"/>
      <c r="H6" s="255"/>
      <c r="I6" s="255"/>
      <c r="J6" s="255"/>
      <c r="K6" s="255"/>
      <c r="L6" s="255"/>
      <c r="M6" s="255"/>
      <c r="N6" s="255"/>
      <c r="O6">
        <f t="shared" si="0"/>
        <v>0</v>
      </c>
      <c r="P6">
        <f t="shared" si="5"/>
        <v>0</v>
      </c>
      <c r="Q6">
        <f t="shared" si="1"/>
        <v>0</v>
      </c>
      <c r="R6" s="255"/>
      <c r="S6" s="255"/>
      <c r="T6" s="255"/>
      <c r="U6">
        <f t="shared" si="2"/>
        <v>0</v>
      </c>
      <c r="V6">
        <f t="shared" si="3"/>
        <v>0</v>
      </c>
      <c r="W6">
        <f t="shared" si="4"/>
        <v>0</v>
      </c>
    </row>
    <row r="7" spans="1:23">
      <c r="A7" t="str">
        <f>IF(D7&gt;0,基础信息!$B$1,"")</f>
        <v/>
      </c>
      <c r="B7" s="276"/>
      <c r="C7" s="255"/>
      <c r="D7" s="255"/>
      <c r="E7" s="255"/>
      <c r="F7" s="255"/>
      <c r="G7" s="255"/>
      <c r="H7" s="255"/>
      <c r="I7" s="255"/>
      <c r="J7" s="255"/>
      <c r="K7" s="255"/>
      <c r="L7" s="255"/>
      <c r="M7" s="255"/>
      <c r="N7" s="255"/>
      <c r="O7">
        <f t="shared" si="0"/>
        <v>0</v>
      </c>
      <c r="P7">
        <v>0</v>
      </c>
      <c r="Q7">
        <f t="shared" si="1"/>
        <v>0</v>
      </c>
      <c r="R7" s="255"/>
      <c r="S7" s="255"/>
      <c r="T7" s="255"/>
      <c r="U7">
        <f t="shared" si="2"/>
        <v>0</v>
      </c>
      <c r="V7">
        <f t="shared" si="3"/>
        <v>0</v>
      </c>
      <c r="W7">
        <f t="shared" si="4"/>
        <v>0</v>
      </c>
    </row>
    <row r="8" spans="1:23">
      <c r="A8" t="str">
        <f>IF(D8&gt;0,基础信息!$B$1,"")</f>
        <v/>
      </c>
      <c r="B8" s="276"/>
      <c r="C8" s="255"/>
      <c r="D8" s="255"/>
      <c r="E8" s="255"/>
      <c r="F8" s="255"/>
      <c r="G8" s="255"/>
      <c r="H8" s="255"/>
      <c r="I8" s="255"/>
      <c r="J8" s="255"/>
      <c r="K8" s="255"/>
      <c r="L8" s="255"/>
      <c r="M8" s="255"/>
      <c r="N8" s="255"/>
      <c r="O8">
        <f t="shared" si="0"/>
        <v>0</v>
      </c>
      <c r="P8">
        <f t="shared" si="5"/>
        <v>0</v>
      </c>
      <c r="Q8">
        <f t="shared" si="1"/>
        <v>0</v>
      </c>
      <c r="R8" s="255"/>
      <c r="S8" s="255"/>
      <c r="T8" s="255"/>
      <c r="U8">
        <f t="shared" si="2"/>
        <v>0</v>
      </c>
      <c r="V8">
        <f t="shared" si="3"/>
        <v>0</v>
      </c>
      <c r="W8">
        <f t="shared" si="4"/>
        <v>0</v>
      </c>
    </row>
    <row r="9" spans="1:23">
      <c r="A9" t="str">
        <f>IF(D9&gt;0,基础信息!$B$1,"")</f>
        <v/>
      </c>
      <c r="B9" s="276"/>
      <c r="C9" s="255"/>
      <c r="D9" s="255"/>
      <c r="E9" s="255"/>
      <c r="F9" s="255"/>
      <c r="G9" s="255"/>
      <c r="H9" s="255"/>
      <c r="I9" s="255"/>
      <c r="J9" s="255"/>
      <c r="K9" s="255"/>
      <c r="L9" s="255"/>
      <c r="M9" s="255"/>
      <c r="N9" s="255"/>
      <c r="O9">
        <f t="shared" si="0"/>
        <v>0</v>
      </c>
      <c r="P9">
        <f t="shared" si="5"/>
        <v>0</v>
      </c>
      <c r="Q9">
        <f t="shared" si="1"/>
        <v>0</v>
      </c>
      <c r="R9" s="255"/>
      <c r="S9" s="255"/>
      <c r="T9" s="255"/>
      <c r="U9">
        <f t="shared" si="2"/>
        <v>0</v>
      </c>
      <c r="V9">
        <f t="shared" si="3"/>
        <v>0</v>
      </c>
      <c r="W9">
        <f t="shared" si="4"/>
        <v>0</v>
      </c>
    </row>
    <row r="10" spans="1:23">
      <c r="A10" t="str">
        <f>IF(D10&gt;0,基础信息!$B$1,"")</f>
        <v/>
      </c>
      <c r="B10" s="276"/>
      <c r="C10" s="255"/>
      <c r="D10" s="255"/>
      <c r="E10" s="255"/>
      <c r="F10" s="255"/>
      <c r="G10" s="255"/>
      <c r="H10" s="255"/>
      <c r="I10" s="255"/>
      <c r="J10" s="255"/>
      <c r="K10" s="255"/>
      <c r="L10" s="255"/>
      <c r="M10" s="255"/>
      <c r="N10" s="255"/>
      <c r="O10">
        <f t="shared" ref="O10:O13" si="6">G10+H10+J10+K10+L10+N10</f>
        <v>0</v>
      </c>
      <c r="P10">
        <f t="shared" ref="P10:P13" si="7">I10+M10</f>
        <v>0</v>
      </c>
      <c r="Q10">
        <f t="shared" ref="Q10:Q13" si="8">F10+G10+H10-I10+J10+K10+L10-M10+N10</f>
        <v>0</v>
      </c>
      <c r="R10" s="255"/>
      <c r="S10" s="255"/>
      <c r="T10" s="255"/>
      <c r="U10">
        <f t="shared" si="2"/>
        <v>0</v>
      </c>
      <c r="V10">
        <f t="shared" si="3"/>
        <v>0</v>
      </c>
      <c r="W10">
        <f t="shared" si="4"/>
        <v>0</v>
      </c>
    </row>
    <row r="11" spans="1:23">
      <c r="A11" t="str">
        <f>IF(D11&gt;0,基础信息!$B$1,"")</f>
        <v/>
      </c>
      <c r="B11" s="276"/>
      <c r="C11" s="255"/>
      <c r="D11" s="255"/>
      <c r="E11" s="255"/>
      <c r="F11" s="255"/>
      <c r="G11" s="255"/>
      <c r="H11" s="255"/>
      <c r="I11" s="255"/>
      <c r="J11" s="255"/>
      <c r="K11" s="255"/>
      <c r="L11" s="255"/>
      <c r="M11" s="255"/>
      <c r="N11" s="255"/>
      <c r="O11">
        <f t="shared" si="6"/>
        <v>0</v>
      </c>
      <c r="P11">
        <f t="shared" si="7"/>
        <v>0</v>
      </c>
      <c r="Q11">
        <f t="shared" si="8"/>
        <v>0</v>
      </c>
      <c r="R11" s="255"/>
      <c r="S11" s="255"/>
      <c r="T11" s="255"/>
      <c r="U11">
        <f t="shared" si="2"/>
        <v>0</v>
      </c>
      <c r="V11">
        <f t="shared" si="3"/>
        <v>0</v>
      </c>
      <c r="W11">
        <f t="shared" si="4"/>
        <v>0</v>
      </c>
    </row>
    <row r="12" spans="1:23">
      <c r="A12" t="str">
        <f>IF(D12&gt;0,基础信息!$B$1,"")</f>
        <v/>
      </c>
      <c r="B12" s="276"/>
      <c r="C12" s="255"/>
      <c r="D12" s="255"/>
      <c r="E12" s="255"/>
      <c r="F12" s="255"/>
      <c r="G12" s="255"/>
      <c r="H12" s="255"/>
      <c r="I12" s="255"/>
      <c r="J12" s="255"/>
      <c r="K12" s="255"/>
      <c r="L12" s="255"/>
      <c r="M12" s="255"/>
      <c r="N12" s="255"/>
      <c r="O12">
        <f t="shared" si="6"/>
        <v>0</v>
      </c>
      <c r="P12">
        <f t="shared" si="7"/>
        <v>0</v>
      </c>
      <c r="Q12">
        <f t="shared" si="8"/>
        <v>0</v>
      </c>
      <c r="R12" s="255"/>
      <c r="S12" s="255"/>
      <c r="T12" s="255"/>
      <c r="U12">
        <f t="shared" si="2"/>
        <v>0</v>
      </c>
      <c r="V12">
        <f t="shared" si="3"/>
        <v>0</v>
      </c>
      <c r="W12">
        <f t="shared" si="4"/>
        <v>0</v>
      </c>
    </row>
    <row r="13" spans="1:23">
      <c r="A13" t="str">
        <f>IF(D13&gt;0,基础信息!$B$1,"")</f>
        <v/>
      </c>
      <c r="B13" s="276"/>
      <c r="C13" s="255"/>
      <c r="D13" s="255"/>
      <c r="E13" s="255"/>
      <c r="F13" s="255"/>
      <c r="G13" s="255"/>
      <c r="H13" s="255"/>
      <c r="I13" s="255"/>
      <c r="J13" s="255"/>
      <c r="K13" s="255"/>
      <c r="L13" s="255"/>
      <c r="M13" s="255"/>
      <c r="N13" s="255"/>
      <c r="O13">
        <f t="shared" si="6"/>
        <v>0</v>
      </c>
      <c r="P13">
        <f t="shared" si="7"/>
        <v>0</v>
      </c>
      <c r="Q13">
        <f t="shared" si="8"/>
        <v>0</v>
      </c>
      <c r="R13" s="255"/>
      <c r="S13" s="255"/>
      <c r="T13" s="255"/>
      <c r="U13">
        <f t="shared" si="2"/>
        <v>0</v>
      </c>
      <c r="V13">
        <f t="shared" si="3"/>
        <v>0</v>
      </c>
      <c r="W13">
        <f t="shared" si="4"/>
        <v>0</v>
      </c>
    </row>
    <row r="14" spans="1:23">
      <c r="A14" t="str">
        <f>IF(D14&gt;0,基础信息!$B$1,"")</f>
        <v/>
      </c>
      <c r="B14" s="276"/>
    </row>
    <row r="15" spans="1:23">
      <c r="A15" t="str">
        <f>IF(D15&gt;0,基础信息!$B$1,"")</f>
        <v/>
      </c>
      <c r="B15" s="276"/>
    </row>
    <row r="16" spans="1:23">
      <c r="A16" t="str">
        <f>IF(D16&gt;0,基础信息!$B$1,"")</f>
        <v/>
      </c>
      <c r="B16" s="276"/>
    </row>
    <row r="17" spans="1:2">
      <c r="A17" t="str">
        <f>IF(D17&gt;0,基础信息!$B$1,"")</f>
        <v/>
      </c>
      <c r="B17" s="276"/>
    </row>
    <row r="18" spans="1:2">
      <c r="A18" t="str">
        <f>IF(D18&gt;0,基础信息!$B$1,"")</f>
        <v/>
      </c>
      <c r="B18" s="276"/>
    </row>
    <row r="19" spans="1:2">
      <c r="A19" t="str">
        <f>IF(D19&gt;0,基础信息!$B$1,"")</f>
        <v/>
      </c>
      <c r="B19" s="276"/>
    </row>
    <row r="20" spans="1:2">
      <c r="A20" t="str">
        <f>IF(D20&gt;0,基础信息!$B$1,"")</f>
        <v/>
      </c>
      <c r="B20" s="276"/>
    </row>
    <row r="21" spans="1:2">
      <c r="A21" t="str">
        <f>IF(D21&gt;0,基础信息!$B$1,"")</f>
        <v/>
      </c>
      <c r="B21" s="276"/>
    </row>
    <row r="22" spans="1:2">
      <c r="A22" t="str">
        <f>IF(D22&gt;0,基础信息!$B$1,"")</f>
        <v/>
      </c>
      <c r="B22" s="276"/>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分类表!$21:$21</xm:f>
          </x14:formula1>
          <xm:sqref>B2:B34</xm:sqref>
        </x14:dataValidation>
      </x14:dataValidations>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sheetPr codeName="Sheet187"/>
  <dimension ref="A1:V39"/>
  <sheetViews>
    <sheetView workbookViewId="0">
      <selection activeCell="N23" sqref="N23"/>
    </sheetView>
  </sheetViews>
  <sheetFormatPr defaultRowHeight="13.8"/>
  <sheetData>
    <row r="1" spans="1:22" ht="55.2">
      <c r="A1" s="311" t="s">
        <v>1976</v>
      </c>
      <c r="B1" s="263" t="s">
        <v>1977</v>
      </c>
      <c r="C1" s="270" t="s">
        <v>125</v>
      </c>
      <c r="D1" s="270" t="s">
        <v>1745</v>
      </c>
      <c r="E1" s="270" t="s">
        <v>1747</v>
      </c>
      <c r="F1" s="312" t="s">
        <v>1748</v>
      </c>
      <c r="G1" s="312" t="s">
        <v>1749</v>
      </c>
      <c r="H1" s="312" t="s">
        <v>1750</v>
      </c>
      <c r="I1" s="312" t="s">
        <v>1751</v>
      </c>
      <c r="J1" s="312" t="s">
        <v>1702</v>
      </c>
      <c r="K1" s="270" t="s">
        <v>1753</v>
      </c>
      <c r="L1" s="270" t="s">
        <v>1754</v>
      </c>
      <c r="M1" s="270" t="s">
        <v>1755</v>
      </c>
      <c r="N1" s="270" t="s">
        <v>3326</v>
      </c>
      <c r="O1" s="270" t="s">
        <v>1105</v>
      </c>
      <c r="P1" s="270" t="s">
        <v>778</v>
      </c>
      <c r="Q1" s="270" t="s">
        <v>698</v>
      </c>
      <c r="R1" s="270" t="s">
        <v>699</v>
      </c>
      <c r="S1" s="270" t="s">
        <v>760</v>
      </c>
      <c r="T1" s="270" t="s">
        <v>1758</v>
      </c>
      <c r="U1" s="270" t="s">
        <v>410</v>
      </c>
      <c r="V1" s="270" t="s">
        <v>2442</v>
      </c>
    </row>
    <row r="2" spans="1:22">
      <c r="A2" s="229" t="str">
        <f>IF(F2&gt;0,基础信息!$B$1,"")</f>
        <v/>
      </c>
      <c r="B2" s="276"/>
      <c r="C2" s="255"/>
      <c r="D2" s="255"/>
      <c r="E2" s="255"/>
      <c r="F2" s="229">
        <f>D2+E2</f>
        <v>0</v>
      </c>
      <c r="G2" s="288"/>
      <c r="H2" s="288"/>
      <c r="I2" s="229">
        <f>G2+H2</f>
        <v>0</v>
      </c>
      <c r="J2" s="229">
        <f>F2-I2</f>
        <v>0</v>
      </c>
      <c r="K2" s="255"/>
      <c r="L2" s="255"/>
      <c r="M2" s="255"/>
      <c r="N2" s="255"/>
      <c r="O2" s="255"/>
      <c r="P2" s="255"/>
      <c r="Q2" s="255"/>
      <c r="R2" s="255"/>
      <c r="S2" s="255"/>
      <c r="T2" s="255"/>
      <c r="U2" s="255"/>
      <c r="V2" s="255"/>
    </row>
    <row r="3" spans="1:22">
      <c r="A3" s="229" t="str">
        <f>IF(F3&gt;0,基础信息!$B$1,"")</f>
        <v/>
      </c>
      <c r="B3" s="276"/>
      <c r="C3" s="255"/>
      <c r="D3" s="255"/>
      <c r="E3" s="255"/>
      <c r="F3" s="229">
        <f t="shared" ref="F3:F16" si="0">D3+E3</f>
        <v>0</v>
      </c>
      <c r="G3" s="288"/>
      <c r="H3" s="288"/>
      <c r="I3" s="229">
        <f t="shared" ref="I3:I16" si="1">G3+H3</f>
        <v>0</v>
      </c>
      <c r="J3" s="229">
        <f t="shared" ref="J3:J16" si="2">F3-I3</f>
        <v>0</v>
      </c>
      <c r="K3" s="255"/>
      <c r="L3" s="255"/>
      <c r="M3" s="255"/>
      <c r="N3" s="255"/>
      <c r="O3" s="255"/>
      <c r="P3" s="255"/>
      <c r="Q3" s="255"/>
      <c r="R3" s="255"/>
      <c r="S3" s="255"/>
      <c r="T3" s="255"/>
      <c r="U3" s="255"/>
      <c r="V3" s="255"/>
    </row>
    <row r="4" spans="1:22">
      <c r="A4" s="229" t="str">
        <f>IF(F4&gt;0,基础信息!$B$1,"")</f>
        <v/>
      </c>
      <c r="B4" s="276"/>
      <c r="C4" s="255"/>
      <c r="D4" s="255"/>
      <c r="E4" s="255"/>
      <c r="F4" s="229">
        <f t="shared" si="0"/>
        <v>0</v>
      </c>
      <c r="G4" s="288"/>
      <c r="H4" s="288"/>
      <c r="I4" s="229">
        <f t="shared" si="1"/>
        <v>0</v>
      </c>
      <c r="J4" s="229">
        <f t="shared" si="2"/>
        <v>0</v>
      </c>
      <c r="K4" s="255"/>
      <c r="L4" s="255"/>
      <c r="M4" s="255"/>
      <c r="N4" s="255"/>
      <c r="O4" s="255"/>
      <c r="P4" s="255"/>
      <c r="Q4" s="255"/>
      <c r="R4" s="255"/>
      <c r="S4" s="255"/>
      <c r="T4" s="255"/>
      <c r="U4" s="255"/>
      <c r="V4" s="255"/>
    </row>
    <row r="5" spans="1:22">
      <c r="A5" s="229" t="str">
        <f>IF(F5&gt;0,基础信息!$B$1,"")</f>
        <v/>
      </c>
      <c r="B5" s="276"/>
      <c r="C5" s="255"/>
      <c r="D5" s="255"/>
      <c r="E5" s="255"/>
      <c r="F5" s="229">
        <f t="shared" si="0"/>
        <v>0</v>
      </c>
      <c r="G5" s="288"/>
      <c r="H5" s="288"/>
      <c r="I5" s="229">
        <f t="shared" si="1"/>
        <v>0</v>
      </c>
      <c r="J5" s="229">
        <f t="shared" si="2"/>
        <v>0</v>
      </c>
      <c r="K5" s="255"/>
      <c r="L5" s="255"/>
      <c r="M5" s="255"/>
      <c r="N5" s="255"/>
      <c r="O5" s="255"/>
      <c r="P5" s="255"/>
      <c r="Q5" s="255"/>
      <c r="R5" s="255"/>
      <c r="S5" s="255"/>
      <c r="T5" s="255"/>
      <c r="U5" s="255"/>
      <c r="V5" s="255"/>
    </row>
    <row r="6" spans="1:22">
      <c r="A6" s="229" t="str">
        <f>IF(F6&gt;0,基础信息!$B$1,"")</f>
        <v/>
      </c>
      <c r="B6" s="276"/>
      <c r="C6" s="255"/>
      <c r="D6" s="255"/>
      <c r="E6" s="255"/>
      <c r="F6" s="229">
        <f t="shared" si="0"/>
        <v>0</v>
      </c>
      <c r="G6" s="288"/>
      <c r="H6" s="288"/>
      <c r="I6" s="229">
        <f t="shared" si="1"/>
        <v>0</v>
      </c>
      <c r="J6" s="229">
        <f t="shared" si="2"/>
        <v>0</v>
      </c>
      <c r="K6" s="255"/>
      <c r="L6" s="255"/>
      <c r="M6" s="255"/>
      <c r="N6" s="255"/>
      <c r="O6" s="255"/>
      <c r="P6" s="255"/>
      <c r="Q6" s="255"/>
      <c r="R6" s="255"/>
      <c r="S6" s="255"/>
      <c r="T6" s="255"/>
      <c r="U6" s="255"/>
      <c r="V6" s="255"/>
    </row>
    <row r="7" spans="1:22">
      <c r="A7" s="229" t="str">
        <f>IF(F7&gt;0,基础信息!$B$1,"")</f>
        <v/>
      </c>
      <c r="B7" s="276"/>
      <c r="C7" s="255"/>
      <c r="D7" s="255"/>
      <c r="E7" s="255"/>
      <c r="F7" s="229">
        <f t="shared" si="0"/>
        <v>0</v>
      </c>
      <c r="G7" s="288"/>
      <c r="H7" s="288"/>
      <c r="I7" s="229">
        <f t="shared" si="1"/>
        <v>0</v>
      </c>
      <c r="J7" s="229">
        <f t="shared" si="2"/>
        <v>0</v>
      </c>
      <c r="K7" s="255"/>
      <c r="L7" s="255"/>
      <c r="M7" s="255"/>
      <c r="N7" s="255"/>
      <c r="O7" s="255"/>
      <c r="P7" s="255"/>
      <c r="Q7" s="255"/>
      <c r="R7" s="255"/>
      <c r="S7" s="255"/>
      <c r="T7" s="255"/>
      <c r="U7" s="255"/>
      <c r="V7" s="255"/>
    </row>
    <row r="8" spans="1:22">
      <c r="A8" s="229" t="str">
        <f>IF(F8&gt;0,基础信息!$B$1,"")</f>
        <v/>
      </c>
      <c r="B8" s="276"/>
      <c r="C8" s="255"/>
      <c r="D8" s="255"/>
      <c r="E8" s="255"/>
      <c r="F8" s="229">
        <f t="shared" si="0"/>
        <v>0</v>
      </c>
      <c r="G8" s="288"/>
      <c r="H8" s="288"/>
      <c r="I8" s="229">
        <f t="shared" si="1"/>
        <v>0</v>
      </c>
      <c r="J8" s="229">
        <f t="shared" si="2"/>
        <v>0</v>
      </c>
      <c r="K8" s="255"/>
      <c r="L8" s="255"/>
      <c r="M8" s="255"/>
      <c r="N8" s="255"/>
      <c r="O8" s="255"/>
      <c r="P8" s="255"/>
      <c r="Q8" s="255"/>
      <c r="R8" s="255"/>
      <c r="S8" s="255"/>
      <c r="T8" s="255"/>
      <c r="U8" s="255"/>
      <c r="V8" s="255"/>
    </row>
    <row r="9" spans="1:22">
      <c r="A9" s="229" t="str">
        <f>IF(F9&gt;0,基础信息!$B$1,"")</f>
        <v/>
      </c>
      <c r="B9" s="276"/>
      <c r="C9" s="255"/>
      <c r="D9" s="255"/>
      <c r="E9" s="255"/>
      <c r="F9" s="229">
        <f t="shared" si="0"/>
        <v>0</v>
      </c>
      <c r="G9" s="288"/>
      <c r="H9" s="288"/>
      <c r="I9" s="229">
        <f t="shared" si="1"/>
        <v>0</v>
      </c>
      <c r="J9" s="229">
        <f t="shared" si="2"/>
        <v>0</v>
      </c>
      <c r="K9" s="255"/>
      <c r="L9" s="255"/>
      <c r="M9" s="255"/>
      <c r="N9" s="255"/>
      <c r="O9" s="255"/>
      <c r="P9" s="255"/>
      <c r="Q9" s="255"/>
      <c r="R9" s="255"/>
      <c r="S9" s="255"/>
      <c r="T9" s="255"/>
      <c r="U9" s="255"/>
      <c r="V9" s="255"/>
    </row>
    <row r="10" spans="1:22">
      <c r="A10" s="229" t="str">
        <f>IF(F10&gt;0,基础信息!$B$1,"")</f>
        <v/>
      </c>
      <c r="B10" s="276"/>
      <c r="C10" s="255"/>
      <c r="D10" s="255"/>
      <c r="E10" s="255"/>
      <c r="F10" s="229">
        <f t="shared" si="0"/>
        <v>0</v>
      </c>
      <c r="G10" s="288"/>
      <c r="H10" s="288"/>
      <c r="I10" s="229">
        <f t="shared" si="1"/>
        <v>0</v>
      </c>
      <c r="J10" s="229">
        <f t="shared" si="2"/>
        <v>0</v>
      </c>
      <c r="K10" s="255"/>
      <c r="L10" s="255"/>
      <c r="M10" s="255"/>
      <c r="N10" s="255"/>
      <c r="O10" s="255"/>
      <c r="P10" s="255"/>
      <c r="Q10" s="255"/>
      <c r="R10" s="255"/>
      <c r="S10" s="255"/>
      <c r="T10" s="255"/>
      <c r="U10" s="255"/>
      <c r="V10" s="255"/>
    </row>
    <row r="11" spans="1:22">
      <c r="A11" s="229" t="str">
        <f>IF(F11&gt;0,基础信息!$B$1,"")</f>
        <v/>
      </c>
      <c r="B11" s="276"/>
      <c r="C11" s="255"/>
      <c r="D11" s="255"/>
      <c r="E11" s="255"/>
      <c r="F11" s="229">
        <f t="shared" si="0"/>
        <v>0</v>
      </c>
      <c r="G11" s="288"/>
      <c r="H11" s="288"/>
      <c r="I11" s="229">
        <f t="shared" si="1"/>
        <v>0</v>
      </c>
      <c r="J11" s="229">
        <f t="shared" si="2"/>
        <v>0</v>
      </c>
      <c r="K11" s="255"/>
      <c r="L11" s="255"/>
      <c r="M11" s="255"/>
      <c r="N11" s="255"/>
      <c r="O11" s="255"/>
      <c r="P11" s="255"/>
      <c r="Q11" s="255"/>
      <c r="R11" s="255"/>
      <c r="S11" s="255"/>
      <c r="T11" s="255"/>
      <c r="U11" s="255"/>
      <c r="V11" s="255"/>
    </row>
    <row r="12" spans="1:22">
      <c r="A12" s="229" t="str">
        <f>IF(F12&gt;0,基础信息!$B$1,"")</f>
        <v/>
      </c>
      <c r="B12" s="276"/>
      <c r="C12" s="255"/>
      <c r="D12" s="255"/>
      <c r="E12" s="255"/>
      <c r="F12" s="229">
        <f t="shared" si="0"/>
        <v>0</v>
      </c>
      <c r="G12" s="288"/>
      <c r="H12" s="288"/>
      <c r="I12" s="229">
        <f t="shared" si="1"/>
        <v>0</v>
      </c>
      <c r="J12" s="229">
        <f t="shared" si="2"/>
        <v>0</v>
      </c>
      <c r="K12" s="255"/>
      <c r="L12" s="255"/>
      <c r="M12" s="255"/>
      <c r="N12" s="255"/>
      <c r="O12" s="255"/>
      <c r="P12" s="255"/>
      <c r="Q12" s="255"/>
      <c r="R12" s="255"/>
      <c r="S12" s="255"/>
      <c r="T12" s="255"/>
      <c r="U12" s="255"/>
      <c r="V12" s="255"/>
    </row>
    <row r="13" spans="1:22">
      <c r="A13" s="229" t="str">
        <f>IF(F13&gt;0,基础信息!$B$1,"")</f>
        <v/>
      </c>
      <c r="B13" s="276"/>
      <c r="C13" s="255"/>
      <c r="D13" s="255"/>
      <c r="E13" s="255"/>
      <c r="F13" s="229">
        <f t="shared" si="0"/>
        <v>0</v>
      </c>
      <c r="G13" s="288"/>
      <c r="H13" s="288"/>
      <c r="I13" s="229">
        <f t="shared" si="1"/>
        <v>0</v>
      </c>
      <c r="J13" s="229">
        <f t="shared" si="2"/>
        <v>0</v>
      </c>
      <c r="K13" s="255"/>
      <c r="L13" s="255"/>
      <c r="M13" s="255"/>
      <c r="N13" s="255"/>
      <c r="O13" s="255"/>
      <c r="P13" s="255"/>
      <c r="Q13" s="255"/>
      <c r="R13" s="255"/>
      <c r="S13" s="255"/>
      <c r="T13" s="255"/>
      <c r="U13" s="255"/>
      <c r="V13" s="255"/>
    </row>
    <row r="14" spans="1:22">
      <c r="A14" s="229" t="str">
        <f>IF(F14&gt;0,基础信息!$B$1,"")</f>
        <v/>
      </c>
      <c r="B14" s="276"/>
      <c r="C14" s="255"/>
      <c r="D14" s="255"/>
      <c r="E14" s="255"/>
      <c r="F14" s="229">
        <f t="shared" si="0"/>
        <v>0</v>
      </c>
      <c r="G14" s="288"/>
      <c r="H14" s="288"/>
      <c r="I14" s="229">
        <f t="shared" si="1"/>
        <v>0</v>
      </c>
      <c r="J14" s="229">
        <f t="shared" si="2"/>
        <v>0</v>
      </c>
      <c r="K14" s="255"/>
      <c r="L14" s="255"/>
      <c r="M14" s="255"/>
      <c r="N14" s="255"/>
      <c r="O14" s="255"/>
      <c r="P14" s="255"/>
      <c r="Q14" s="255"/>
      <c r="R14" s="255"/>
      <c r="S14" s="255"/>
      <c r="T14" s="255"/>
      <c r="U14" s="255"/>
      <c r="V14" s="255"/>
    </row>
    <row r="15" spans="1:22">
      <c r="A15" s="229" t="str">
        <f>IF(F15&gt;0,基础信息!$B$1,"")</f>
        <v/>
      </c>
      <c r="B15" s="276"/>
      <c r="C15" s="255"/>
      <c r="D15" s="255"/>
      <c r="E15" s="255"/>
      <c r="F15" s="229">
        <f t="shared" si="0"/>
        <v>0</v>
      </c>
      <c r="G15" s="288"/>
      <c r="H15" s="288"/>
      <c r="I15" s="229">
        <f t="shared" si="1"/>
        <v>0</v>
      </c>
      <c r="J15" s="229">
        <f t="shared" si="2"/>
        <v>0</v>
      </c>
      <c r="K15" s="255"/>
      <c r="L15" s="255"/>
      <c r="M15" s="255"/>
      <c r="N15" s="255"/>
      <c r="O15" s="255"/>
      <c r="P15" s="255"/>
      <c r="Q15" s="255"/>
      <c r="R15" s="255"/>
      <c r="S15" s="255"/>
      <c r="T15" s="255"/>
      <c r="U15" s="255"/>
      <c r="V15" s="255"/>
    </row>
    <row r="16" spans="1:22">
      <c r="A16" s="229" t="str">
        <f>IF(F16&gt;0,基础信息!$B$1,"")</f>
        <v/>
      </c>
      <c r="B16" s="276"/>
      <c r="C16" s="255"/>
      <c r="D16" s="255"/>
      <c r="E16" s="255"/>
      <c r="F16" s="229">
        <f t="shared" si="0"/>
        <v>0</v>
      </c>
      <c r="G16" s="288"/>
      <c r="H16" s="288"/>
      <c r="I16" s="229">
        <f t="shared" si="1"/>
        <v>0</v>
      </c>
      <c r="J16" s="229">
        <f t="shared" si="2"/>
        <v>0</v>
      </c>
      <c r="K16" s="255"/>
      <c r="L16" s="255"/>
      <c r="M16" s="255"/>
      <c r="N16" s="255"/>
      <c r="O16" s="255"/>
      <c r="P16" s="255"/>
      <c r="Q16" s="255"/>
      <c r="R16" s="255"/>
      <c r="S16" s="255"/>
      <c r="T16" s="255"/>
      <c r="U16" s="255"/>
      <c r="V16" s="255"/>
    </row>
    <row r="17" spans="1:2">
      <c r="A17" s="229" t="str">
        <f>IF(F17&gt;0,基础信息!$B$1,"")</f>
        <v/>
      </c>
      <c r="B17" s="276"/>
    </row>
    <row r="18" spans="1:2">
      <c r="A18" s="229" t="str">
        <f>IF(F18&gt;0,基础信息!$B$1,"")</f>
        <v/>
      </c>
      <c r="B18" s="276"/>
    </row>
    <row r="19" spans="1:2">
      <c r="A19" s="229" t="str">
        <f>IF(F19&gt;0,基础信息!$B$1,"")</f>
        <v/>
      </c>
      <c r="B19" s="276"/>
    </row>
    <row r="20" spans="1:2">
      <c r="A20" s="229" t="str">
        <f>IF(F20&gt;0,基础信息!$B$1,"")</f>
        <v/>
      </c>
      <c r="B20" s="276"/>
    </row>
    <row r="21" spans="1:2">
      <c r="A21" s="229" t="str">
        <f>IF(F21&gt;0,基础信息!$B$1,"")</f>
        <v/>
      </c>
      <c r="B21" s="276"/>
    </row>
    <row r="22" spans="1:2">
      <c r="A22" s="229" t="str">
        <f>IF(F22&gt;0,基础信息!$B$1,"")</f>
        <v/>
      </c>
      <c r="B22" s="276"/>
    </row>
    <row r="23" spans="1:2">
      <c r="A23" s="229" t="str">
        <f>IF(F23&gt;0,基础信息!$B$1,"")</f>
        <v/>
      </c>
      <c r="B23" s="276"/>
    </row>
    <row r="24" spans="1:2">
      <c r="A24" s="229" t="str">
        <f>IF(F24&gt;0,基础信息!$B$1,"")</f>
        <v/>
      </c>
      <c r="B24" s="276"/>
    </row>
    <row r="25" spans="1:2">
      <c r="A25" s="229" t="str">
        <f>IF(F25&gt;0,基础信息!$B$1,"")</f>
        <v/>
      </c>
      <c r="B25" s="276"/>
    </row>
    <row r="26" spans="1:2">
      <c r="A26" s="229" t="str">
        <f>IF(F26&gt;0,基础信息!$B$1,"")</f>
        <v/>
      </c>
      <c r="B26" s="276"/>
    </row>
    <row r="27" spans="1:2">
      <c r="A27" s="229" t="str">
        <f>IF(F27&gt;0,基础信息!$B$1,"")</f>
        <v/>
      </c>
      <c r="B27" s="276"/>
    </row>
    <row r="28" spans="1:2">
      <c r="A28" s="229" t="str">
        <f>IF(F28&gt;0,基础信息!$B$1,"")</f>
        <v/>
      </c>
      <c r="B28" s="276"/>
    </row>
    <row r="29" spans="1:2">
      <c r="A29" s="229" t="str">
        <f>IF(F29&gt;0,基础信息!$B$1,"")</f>
        <v/>
      </c>
      <c r="B29" s="276"/>
    </row>
    <row r="30" spans="1:2">
      <c r="A30" s="229" t="str">
        <f>IF(F30&gt;0,基础信息!$B$1,"")</f>
        <v/>
      </c>
      <c r="B30" s="276"/>
    </row>
    <row r="31" spans="1:2">
      <c r="A31" s="229" t="str">
        <f>IF(F31&gt;0,基础信息!$B$1,"")</f>
        <v/>
      </c>
      <c r="B31" s="276"/>
    </row>
    <row r="32" spans="1:2">
      <c r="A32" s="229" t="str">
        <f>IF(F32&gt;0,基础信息!$B$1,"")</f>
        <v/>
      </c>
    </row>
    <row r="33" spans="1:1">
      <c r="A33" s="229" t="str">
        <f>IF(F33&gt;0,基础信息!$B$1,"")</f>
        <v/>
      </c>
    </row>
    <row r="34" spans="1:1">
      <c r="A34" s="229" t="str">
        <f>IF(F34&gt;0,基础信息!$B$1,"")</f>
        <v/>
      </c>
    </row>
    <row r="35" spans="1:1">
      <c r="A35" s="229" t="str">
        <f>IF(F35&gt;0,基础信息!$B$1,"")</f>
        <v/>
      </c>
    </row>
    <row r="36" spans="1:1">
      <c r="A36" s="229" t="str">
        <f>IF(F36&gt;0,基础信息!$B$1,"")</f>
        <v/>
      </c>
    </row>
    <row r="37" spans="1:1">
      <c r="A37" s="229" t="str">
        <f>IF(F37&gt;0,基础信息!$B$1,"")</f>
        <v/>
      </c>
    </row>
    <row r="38" spans="1:1">
      <c r="A38" s="229" t="str">
        <f>IF(F38&gt;0,基础信息!$B$1,"")</f>
        <v/>
      </c>
    </row>
    <row r="39" spans="1:1">
      <c r="A39" s="229"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分类表!$21:$21</xm:f>
          </x14:formula1>
          <xm:sqref>B2:B31</xm:sqref>
        </x14:dataValidation>
      </x14:dataValidations>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codeName="Sheet188">
    <tabColor rgb="FFFFC000"/>
  </sheetPr>
  <dimension ref="A1:C4"/>
  <sheetViews>
    <sheetView workbookViewId="0">
      <selection activeCell="B19" sqref="B19"/>
    </sheetView>
  </sheetViews>
  <sheetFormatPr defaultRowHeight="13.8"/>
  <cols>
    <col min="1" max="1" width="20.44140625" style="18" bestFit="1" customWidth="1"/>
    <col min="2" max="2" width="9.5546875" style="18" bestFit="1" customWidth="1"/>
    <col min="3" max="16384" width="8.88671875" style="18"/>
  </cols>
  <sheetData>
    <row r="1" spans="1:3" ht="14.4">
      <c r="A1" s="35" t="s">
        <v>28</v>
      </c>
      <c r="B1" s="35" t="s">
        <v>199</v>
      </c>
      <c r="C1" s="18" t="s">
        <v>200</v>
      </c>
    </row>
    <row r="2" spans="1:3" ht="14.4">
      <c r="A2" s="551" t="s">
        <v>3531</v>
      </c>
      <c r="B2" s="552">
        <f>ROUND(SUMIF(其他权益工具投资明细表!D:D,A2,其他权益工具投资明细表!O:O),2)</f>
        <v>0</v>
      </c>
      <c r="C2" s="150">
        <f>ROUND(SUMIF(其他权益工具投资明细表!D:D,A2,其他权益工具投资明细表!G:G),2)</f>
        <v>0</v>
      </c>
    </row>
    <row r="3" spans="1:3" ht="14.4">
      <c r="A3" s="551" t="s">
        <v>3532</v>
      </c>
      <c r="B3" s="552">
        <f>ROUND(SUMIF(其他权益工具投资明细表!D:D,A3,其他权益工具投资明细表!O:O),2)</f>
        <v>0</v>
      </c>
      <c r="C3" s="150">
        <f>ROUND(SUMIF(其他权益工具投资明细表!D:D,A3,其他权益工具投资明细表!G:G),2)</f>
        <v>0</v>
      </c>
    </row>
    <row r="4" spans="1:3" ht="14.4">
      <c r="A4" s="35" t="s">
        <v>204</v>
      </c>
      <c r="B4" s="45">
        <f>ROUND(SUM(B2:B3),2)</f>
        <v>0</v>
      </c>
      <c r="C4" s="45">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8CC5F-88E0-4B76-BA81-C3D488547170}">
          <x14:formula1>
            <xm:f>分类表!$96:$96</xm:f>
          </x14:formula1>
          <xm:sqref>A2:A3</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codeName="Sheet189">
    <tabColor rgb="FFFFC000"/>
  </sheetPr>
  <dimension ref="A1:D9"/>
  <sheetViews>
    <sheetView workbookViewId="0">
      <selection activeCell="H13" sqref="H13"/>
    </sheetView>
  </sheetViews>
  <sheetFormatPr defaultRowHeight="13.8"/>
  <cols>
    <col min="1" max="1" width="20.44140625" bestFit="1" customWidth="1"/>
    <col min="3" max="3" width="13" customWidth="1"/>
  </cols>
  <sheetData>
    <row r="1" spans="1:4" ht="60">
      <c r="A1" s="72" t="s">
        <v>28</v>
      </c>
      <c r="B1" s="20" t="s">
        <v>3351</v>
      </c>
      <c r="C1" s="72" t="s">
        <v>377</v>
      </c>
      <c r="D1" s="72" t="s">
        <v>2365</v>
      </c>
    </row>
    <row r="2" spans="1:4" ht="15">
      <c r="A2" s="255"/>
      <c r="B2" s="603"/>
      <c r="C2" s="603"/>
      <c r="D2" s="603"/>
    </row>
    <row r="3" spans="1:4" ht="15">
      <c r="A3" s="255"/>
      <c r="B3" s="603"/>
      <c r="C3" s="603"/>
      <c r="D3" s="603"/>
    </row>
    <row r="4" spans="1:4" ht="15">
      <c r="A4" s="255"/>
      <c r="B4" s="603"/>
      <c r="C4" s="603"/>
      <c r="D4" s="603"/>
    </row>
    <row r="5" spans="1:4" ht="15">
      <c r="A5" s="255"/>
      <c r="B5" s="603"/>
      <c r="C5" s="603"/>
      <c r="D5" s="603"/>
    </row>
    <row r="6" spans="1:4" ht="15">
      <c r="A6" s="255"/>
      <c r="B6" s="603"/>
      <c r="C6" s="603"/>
      <c r="D6" s="603"/>
    </row>
    <row r="7" spans="1:4" ht="15">
      <c r="A7" s="255"/>
      <c r="B7" s="603"/>
      <c r="C7" s="603"/>
      <c r="D7" s="603"/>
    </row>
    <row r="8" spans="1:4" ht="15">
      <c r="A8" s="255"/>
      <c r="B8" s="603"/>
      <c r="C8" s="603"/>
      <c r="D8" s="603"/>
    </row>
    <row r="9" spans="1:4" ht="15">
      <c r="A9" s="72" t="s">
        <v>204</v>
      </c>
      <c r="B9" s="318">
        <f>ROUND(SUM(B2:B8),2)</f>
        <v>0</v>
      </c>
      <c r="C9" s="318">
        <f>ROUND(SUM(C2:C8),2)</f>
        <v>0</v>
      </c>
      <c r="D9" s="318">
        <f>ROUND(SUM(D2:D8),2)</f>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codeName="Sheet190">
    <tabColor rgb="FFFFC000"/>
  </sheetPr>
  <dimension ref="A1:G5"/>
  <sheetViews>
    <sheetView workbookViewId="0">
      <selection activeCell="D4" sqref="D4"/>
    </sheetView>
  </sheetViews>
  <sheetFormatPr defaultRowHeight="13.8"/>
  <cols>
    <col min="1" max="1" width="9.5546875" style="18" bestFit="1" customWidth="1"/>
    <col min="2" max="2" width="12.109375" style="18" customWidth="1"/>
    <col min="3" max="3" width="9.5546875" style="18" bestFit="1" customWidth="1"/>
    <col min="4" max="16384" width="8.88671875" style="18"/>
  </cols>
  <sheetData>
    <row r="1" spans="1:7" ht="100.8">
      <c r="A1" s="20" t="s">
        <v>28</v>
      </c>
      <c r="B1" s="20" t="s">
        <v>418</v>
      </c>
      <c r="C1" s="20" t="s">
        <v>3359</v>
      </c>
      <c r="D1" s="20" t="s">
        <v>3360</v>
      </c>
      <c r="E1" s="20" t="s">
        <v>3529</v>
      </c>
      <c r="F1" s="20" t="s">
        <v>3358</v>
      </c>
      <c r="G1" s="20" t="s">
        <v>419</v>
      </c>
    </row>
    <row r="2" spans="1:7" ht="14.4">
      <c r="A2" s="553">
        <f>ROUND(其他权益工具投资明细表!B2,2)</f>
        <v>0</v>
      </c>
      <c r="B2" s="554">
        <f>ROUND(其他权益工具投资明细表!P2,2)</f>
        <v>0</v>
      </c>
      <c r="C2" s="554">
        <f>ROUND(IF(其他权益工具投资明细表!N2&gt;0,其他权益工具投资明细表!N2,0),2)</f>
        <v>0</v>
      </c>
      <c r="D2" s="554">
        <f>ROUND(IF(其他权益工具投资明细表!N2&lt;0,-其他权益工具投资明细表!N2,0),2)</f>
        <v>0</v>
      </c>
      <c r="E2" s="554">
        <f>ROUND(其他权益工具投资明细表!L2,2)</f>
        <v>0</v>
      </c>
      <c r="F2" s="554">
        <f>ROUND(其他权益工具投资明细表!R2,2)</f>
        <v>0</v>
      </c>
      <c r="G2" s="554">
        <f>ROUND(其他权益工具投资明细表!S2,2)</f>
        <v>0</v>
      </c>
    </row>
    <row r="3" spans="1:7" ht="14.4">
      <c r="A3" s="553">
        <f>ROUND(其他权益工具投资明细表!B3,2)</f>
        <v>0</v>
      </c>
      <c r="B3" s="554">
        <f>ROUND(其他权益工具投资明细表!P3,2)</f>
        <v>0</v>
      </c>
      <c r="C3" s="554">
        <f>ROUND(IF(其他权益工具投资明细表!N3&gt;0,其他权益工具投资明细表!N3,0),2)</f>
        <v>0</v>
      </c>
      <c r="D3" s="554">
        <f>ROUND(IF(其他权益工具投资明细表!N3&lt;0,-其他权益工具投资明细表!N3,0),2)</f>
        <v>0</v>
      </c>
      <c r="E3" s="554">
        <f>ROUND(其他权益工具投资明细表!L3,2)</f>
        <v>0</v>
      </c>
      <c r="F3" s="554">
        <f>ROUND(其他权益工具投资明细表!R3,2)</f>
        <v>0</v>
      </c>
      <c r="G3" s="554">
        <f>ROUND(其他权益工具投资明细表!S3,2)</f>
        <v>0</v>
      </c>
    </row>
    <row r="4" spans="1:7" ht="14.4">
      <c r="A4" s="553">
        <f>ROUND(其他权益工具投资明细表!B4,2)</f>
        <v>0</v>
      </c>
      <c r="B4" s="554">
        <f>ROUND(其他权益工具投资明细表!P4,2)</f>
        <v>0</v>
      </c>
      <c r="C4" s="554">
        <f>ROUND(IF(其他权益工具投资明细表!N4&gt;0,其他权益工具投资明细表!N4,0),2)</f>
        <v>0</v>
      </c>
      <c r="D4" s="554">
        <f>ROUND(IF(其他权益工具投资明细表!N4&lt;0,-其他权益工具投资明细表!N4,0),2)</f>
        <v>0</v>
      </c>
      <c r="E4" s="554">
        <f>ROUND(其他权益工具投资明细表!L4,2)</f>
        <v>0</v>
      </c>
      <c r="F4" s="554">
        <f>ROUND(其他权益工具投资明细表!R4,2)</f>
        <v>0</v>
      </c>
      <c r="G4" s="554">
        <f>ROUND(其他权益工具投资明细表!S4,2)</f>
        <v>0</v>
      </c>
    </row>
    <row r="5" spans="1:7" ht="14.4">
      <c r="A5" s="20" t="s">
        <v>204</v>
      </c>
      <c r="B5" s="315">
        <f t="shared" ref="B5:G5" si="0">ROUND(SUM(B2:B4),2)</f>
        <v>0</v>
      </c>
      <c r="C5" s="315">
        <f t="shared" si="0"/>
        <v>0</v>
      </c>
      <c r="D5" s="315">
        <f t="shared" si="0"/>
        <v>0</v>
      </c>
      <c r="E5" s="315">
        <f t="shared" si="0"/>
        <v>0</v>
      </c>
      <c r="F5" s="315">
        <f t="shared" si="0"/>
        <v>0</v>
      </c>
      <c r="G5" s="315">
        <f t="shared" si="0"/>
        <v>0</v>
      </c>
    </row>
  </sheetData>
  <phoneticPr fontId="1" type="noConversion"/>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5FE-4C15-4C15-B1F9-B60110503516}">
  <sheetPr codeName="Sheet191"/>
  <dimension ref="A1:S23"/>
  <sheetViews>
    <sheetView workbookViewId="0">
      <selection activeCell="F19" sqref="F19"/>
    </sheetView>
  </sheetViews>
  <sheetFormatPr defaultRowHeight="13.8"/>
  <cols>
    <col min="2" max="2" width="13.109375" customWidth="1"/>
    <col min="6" max="6" width="17.109375" customWidth="1"/>
  </cols>
  <sheetData>
    <row r="1" spans="1:19" s="236" customFormat="1" ht="100.8">
      <c r="A1" s="236" t="s">
        <v>2383</v>
      </c>
      <c r="B1" s="236" t="s">
        <v>389</v>
      </c>
      <c r="C1" s="236" t="s">
        <v>2442</v>
      </c>
      <c r="D1" s="236" t="s">
        <v>3533</v>
      </c>
      <c r="E1" s="236" t="s">
        <v>3526</v>
      </c>
      <c r="F1" s="236" t="s">
        <v>3527</v>
      </c>
      <c r="G1" s="236" t="s">
        <v>578</v>
      </c>
      <c r="H1" s="236" t="s">
        <v>2428</v>
      </c>
      <c r="I1" s="236" t="s">
        <v>2417</v>
      </c>
      <c r="J1" s="236" t="s">
        <v>2419</v>
      </c>
      <c r="K1" s="236" t="s">
        <v>2420</v>
      </c>
      <c r="L1" s="236" t="s">
        <v>3530</v>
      </c>
      <c r="M1" s="236" t="s">
        <v>3528</v>
      </c>
      <c r="N1" s="236" t="s">
        <v>3502</v>
      </c>
      <c r="O1" s="236" t="s">
        <v>390</v>
      </c>
      <c r="P1" s="236" t="s">
        <v>2430</v>
      </c>
      <c r="Q1" s="236" t="s">
        <v>2431</v>
      </c>
      <c r="R1" s="20" t="s">
        <v>3358</v>
      </c>
      <c r="S1" s="20" t="s">
        <v>419</v>
      </c>
    </row>
    <row r="2" spans="1:19">
      <c r="A2" s="229" t="str">
        <f>IF(OR(G2&gt;0,O2&gt;0),基础信息!$B$1,"")</f>
        <v/>
      </c>
      <c r="B2" s="288"/>
      <c r="C2" s="288"/>
      <c r="D2" s="547"/>
      <c r="E2" s="288"/>
      <c r="F2" s="288"/>
      <c r="G2" s="229">
        <f>E2+F2</f>
        <v>0</v>
      </c>
      <c r="H2" s="288"/>
      <c r="I2" s="288"/>
      <c r="J2" s="288"/>
      <c r="K2" s="288"/>
      <c r="L2" s="288"/>
      <c r="M2" s="229">
        <f>E2+H2+I2-J2</f>
        <v>0</v>
      </c>
      <c r="N2" s="229">
        <f>F2+K2-L2</f>
        <v>0</v>
      </c>
      <c r="O2" s="229">
        <f>M2+N2</f>
        <v>0</v>
      </c>
      <c r="P2" s="288"/>
      <c r="Q2" s="288"/>
      <c r="R2" s="255"/>
      <c r="S2" s="255"/>
    </row>
    <row r="3" spans="1:19">
      <c r="A3" s="229" t="str">
        <f>IF(OR(G3&gt;0,O3&gt;0),基础信息!$B$1,"")</f>
        <v/>
      </c>
      <c r="B3" s="288"/>
      <c r="C3" s="288"/>
      <c r="D3" s="547"/>
      <c r="E3" s="288"/>
      <c r="F3" s="288"/>
      <c r="G3" s="229">
        <f t="shared" ref="G3:G23" si="0">E3+F3</f>
        <v>0</v>
      </c>
      <c r="H3" s="288"/>
      <c r="I3" s="288"/>
      <c r="J3" s="288"/>
      <c r="K3" s="288"/>
      <c r="L3" s="288"/>
      <c r="M3" s="229">
        <f t="shared" ref="M3:M23" si="1">E3+H3+I3-J3</f>
        <v>0</v>
      </c>
      <c r="N3" s="229">
        <f t="shared" ref="N3:N23" si="2">F3+K3-L3</f>
        <v>0</v>
      </c>
      <c r="O3" s="229">
        <f t="shared" ref="O3:O23" si="3">M3+N3</f>
        <v>0</v>
      </c>
      <c r="P3" s="288"/>
      <c r="Q3" s="288"/>
      <c r="R3" s="255"/>
      <c r="S3" s="255"/>
    </row>
    <row r="4" spans="1:19">
      <c r="A4" s="229" t="str">
        <f>IF(OR(G4&gt;0,O4&gt;0),基础信息!$B$1,"")</f>
        <v/>
      </c>
      <c r="B4" s="288"/>
      <c r="C4" s="288"/>
      <c r="D4" s="547"/>
      <c r="E4" s="288"/>
      <c r="F4" s="288"/>
      <c r="G4" s="229">
        <f t="shared" si="0"/>
        <v>0</v>
      </c>
      <c r="H4" s="288"/>
      <c r="I4" s="288"/>
      <c r="J4" s="288"/>
      <c r="K4" s="288"/>
      <c r="L4" s="288"/>
      <c r="M4" s="229">
        <f t="shared" si="1"/>
        <v>0</v>
      </c>
      <c r="N4" s="229">
        <f t="shared" si="2"/>
        <v>0</v>
      </c>
      <c r="O4" s="229">
        <f t="shared" si="3"/>
        <v>0</v>
      </c>
      <c r="P4" s="288"/>
      <c r="Q4" s="288"/>
      <c r="R4" s="255"/>
      <c r="S4" s="255"/>
    </row>
    <row r="5" spans="1:19">
      <c r="A5" s="229" t="str">
        <f>IF(OR(G5&gt;0,O5&gt;0),基础信息!$B$1,"")</f>
        <v/>
      </c>
      <c r="B5" s="288"/>
      <c r="C5" s="288"/>
      <c r="D5" s="547"/>
      <c r="E5" s="288"/>
      <c r="F5" s="288"/>
      <c r="G5" s="229">
        <f t="shared" si="0"/>
        <v>0</v>
      </c>
      <c r="H5" s="288"/>
      <c r="I5" s="288"/>
      <c r="J5" s="288"/>
      <c r="K5" s="288"/>
      <c r="L5" s="288"/>
      <c r="M5" s="229">
        <f t="shared" si="1"/>
        <v>0</v>
      </c>
      <c r="N5" s="229">
        <f t="shared" si="2"/>
        <v>0</v>
      </c>
      <c r="O5" s="229">
        <f t="shared" si="3"/>
        <v>0</v>
      </c>
      <c r="P5" s="288"/>
      <c r="Q5" s="288"/>
      <c r="R5" s="255"/>
      <c r="S5" s="255"/>
    </row>
    <row r="6" spans="1:19">
      <c r="A6" s="229" t="str">
        <f>IF(OR(G6&gt;0,O6&gt;0),基础信息!$B$1,"")</f>
        <v/>
      </c>
      <c r="B6" s="288"/>
      <c r="C6" s="288"/>
      <c r="D6" s="547"/>
      <c r="E6" s="288"/>
      <c r="F6" s="288"/>
      <c r="G6" s="229">
        <f t="shared" si="0"/>
        <v>0</v>
      </c>
      <c r="H6" s="288"/>
      <c r="I6" s="288"/>
      <c r="J6" s="288"/>
      <c r="K6" s="288"/>
      <c r="L6" s="288"/>
      <c r="M6" s="229">
        <f t="shared" si="1"/>
        <v>0</v>
      </c>
      <c r="N6" s="229">
        <f t="shared" si="2"/>
        <v>0</v>
      </c>
      <c r="O6" s="229">
        <f t="shared" si="3"/>
        <v>0</v>
      </c>
      <c r="P6" s="288"/>
      <c r="Q6" s="288"/>
      <c r="R6" s="255"/>
      <c r="S6" s="255"/>
    </row>
    <row r="7" spans="1:19">
      <c r="A7" s="229" t="str">
        <f>IF(OR(G7&gt;0,O7&gt;0),基础信息!$B$1,"")</f>
        <v/>
      </c>
      <c r="B7" s="288"/>
      <c r="C7" s="288"/>
      <c r="D7" s="547"/>
      <c r="E7" s="288"/>
      <c r="F7" s="288"/>
      <c r="G7" s="229">
        <f t="shared" si="0"/>
        <v>0</v>
      </c>
      <c r="H7" s="288"/>
      <c r="I7" s="288"/>
      <c r="J7" s="288"/>
      <c r="K7" s="288"/>
      <c r="L7" s="288"/>
      <c r="M7" s="229">
        <f t="shared" si="1"/>
        <v>0</v>
      </c>
      <c r="N7" s="229">
        <f t="shared" si="2"/>
        <v>0</v>
      </c>
      <c r="O7" s="229">
        <f t="shared" si="3"/>
        <v>0</v>
      </c>
      <c r="P7" s="288"/>
      <c r="Q7" s="288"/>
      <c r="R7" s="255"/>
      <c r="S7" s="255"/>
    </row>
    <row r="8" spans="1:19">
      <c r="A8" s="229" t="str">
        <f>IF(OR(G8&gt;0,O8&gt;0),基础信息!$B$1,"")</f>
        <v/>
      </c>
      <c r="B8" s="288"/>
      <c r="C8" s="288"/>
      <c r="D8" s="547"/>
      <c r="E8" s="288"/>
      <c r="F8" s="288"/>
      <c r="G8" s="229">
        <f t="shared" si="0"/>
        <v>0</v>
      </c>
      <c r="H8" s="288"/>
      <c r="I8" s="288"/>
      <c r="J8" s="288"/>
      <c r="K8" s="288"/>
      <c r="L8" s="288"/>
      <c r="M8" s="229">
        <f t="shared" si="1"/>
        <v>0</v>
      </c>
      <c r="N8" s="229">
        <f t="shared" si="2"/>
        <v>0</v>
      </c>
      <c r="O8" s="229">
        <f t="shared" si="3"/>
        <v>0</v>
      </c>
      <c r="P8" s="288"/>
      <c r="Q8" s="288"/>
      <c r="R8" s="255"/>
      <c r="S8" s="255"/>
    </row>
    <row r="9" spans="1:19">
      <c r="A9" s="229" t="str">
        <f>IF(OR(G9&gt;0,O9&gt;0),基础信息!$B$1,"")</f>
        <v/>
      </c>
      <c r="B9" s="288"/>
      <c r="C9" s="288"/>
      <c r="D9" s="547"/>
      <c r="E9" s="288"/>
      <c r="F9" s="288"/>
      <c r="G9" s="229">
        <f t="shared" si="0"/>
        <v>0</v>
      </c>
      <c r="H9" s="288"/>
      <c r="I9" s="288"/>
      <c r="J9" s="288"/>
      <c r="K9" s="288"/>
      <c r="L9" s="288"/>
      <c r="M9" s="229">
        <f t="shared" si="1"/>
        <v>0</v>
      </c>
      <c r="N9" s="229">
        <f t="shared" si="2"/>
        <v>0</v>
      </c>
      <c r="O9" s="229">
        <f t="shared" si="3"/>
        <v>0</v>
      </c>
      <c r="P9" s="288"/>
      <c r="Q9" s="288"/>
      <c r="R9" s="255"/>
      <c r="S9" s="255"/>
    </row>
    <row r="10" spans="1:19">
      <c r="A10" s="229" t="str">
        <f>IF(OR(G10&gt;0,O10&gt;0),基础信息!$B$1,"")</f>
        <v/>
      </c>
      <c r="B10" s="288"/>
      <c r="C10" s="288"/>
      <c r="D10" s="547"/>
      <c r="E10" s="288"/>
      <c r="F10" s="288"/>
      <c r="G10" s="229">
        <f t="shared" si="0"/>
        <v>0</v>
      </c>
      <c r="H10" s="288"/>
      <c r="I10" s="288"/>
      <c r="J10" s="288"/>
      <c r="K10" s="288"/>
      <c r="L10" s="288"/>
      <c r="M10" s="229">
        <f t="shared" si="1"/>
        <v>0</v>
      </c>
      <c r="N10" s="229">
        <f t="shared" si="2"/>
        <v>0</v>
      </c>
      <c r="O10" s="229">
        <f t="shared" si="3"/>
        <v>0</v>
      </c>
      <c r="P10" s="288"/>
      <c r="Q10" s="288"/>
      <c r="R10" s="255"/>
      <c r="S10" s="255"/>
    </row>
    <row r="11" spans="1:19">
      <c r="A11" s="229" t="str">
        <f>IF(OR(G11&gt;0,O11&gt;0),基础信息!$B$1,"")</f>
        <v/>
      </c>
      <c r="B11" s="288"/>
      <c r="C11" s="288"/>
      <c r="D11" s="547"/>
      <c r="E11" s="288"/>
      <c r="F11" s="288"/>
      <c r="G11" s="229">
        <f t="shared" si="0"/>
        <v>0</v>
      </c>
      <c r="H11" s="288"/>
      <c r="I11" s="288"/>
      <c r="J11" s="288"/>
      <c r="K11" s="288"/>
      <c r="L11" s="288"/>
      <c r="M11" s="229">
        <f t="shared" si="1"/>
        <v>0</v>
      </c>
      <c r="N11" s="229">
        <f t="shared" si="2"/>
        <v>0</v>
      </c>
      <c r="O11" s="229">
        <f t="shared" si="3"/>
        <v>0</v>
      </c>
      <c r="P11" s="288"/>
      <c r="Q11" s="288"/>
      <c r="R11" s="255"/>
      <c r="S11" s="255"/>
    </row>
    <row r="12" spans="1:19">
      <c r="A12" s="229" t="str">
        <f>IF(OR(G12&gt;0,O12&gt;0),基础信息!$B$1,"")</f>
        <v/>
      </c>
      <c r="B12" s="288"/>
      <c r="C12" s="288"/>
      <c r="D12" s="547"/>
      <c r="E12" s="288"/>
      <c r="F12" s="288"/>
      <c r="G12" s="229">
        <f t="shared" si="0"/>
        <v>0</v>
      </c>
      <c r="H12" s="288"/>
      <c r="I12" s="288"/>
      <c r="J12" s="288"/>
      <c r="K12" s="288"/>
      <c r="L12" s="288"/>
      <c r="M12" s="229">
        <f t="shared" si="1"/>
        <v>0</v>
      </c>
      <c r="N12" s="229">
        <f t="shared" si="2"/>
        <v>0</v>
      </c>
      <c r="O12" s="229">
        <f t="shared" si="3"/>
        <v>0</v>
      </c>
      <c r="P12" s="288"/>
      <c r="Q12" s="288"/>
      <c r="R12" s="255"/>
      <c r="S12" s="255"/>
    </row>
    <row r="13" spans="1:19">
      <c r="A13" s="229" t="str">
        <f>IF(OR(G13&gt;0,O13&gt;0),基础信息!$B$1,"")</f>
        <v/>
      </c>
      <c r="B13" s="288"/>
      <c r="C13" s="288"/>
      <c r="D13" s="547"/>
      <c r="E13" s="288"/>
      <c r="F13" s="288"/>
      <c r="G13" s="229">
        <f t="shared" si="0"/>
        <v>0</v>
      </c>
      <c r="H13" s="288"/>
      <c r="I13" s="288"/>
      <c r="J13" s="288"/>
      <c r="K13" s="288"/>
      <c r="L13" s="288"/>
      <c r="M13" s="229">
        <f t="shared" si="1"/>
        <v>0</v>
      </c>
      <c r="N13" s="229">
        <f t="shared" si="2"/>
        <v>0</v>
      </c>
      <c r="O13" s="229">
        <f t="shared" si="3"/>
        <v>0</v>
      </c>
      <c r="P13" s="288"/>
      <c r="Q13" s="288"/>
      <c r="R13" s="255"/>
      <c r="S13" s="255"/>
    </row>
    <row r="14" spans="1:19">
      <c r="A14" s="229" t="str">
        <f>IF(OR(G14&gt;0,O14&gt;0),基础信息!$B$1,"")</f>
        <v/>
      </c>
      <c r="B14" s="288"/>
      <c r="C14" s="288"/>
      <c r="D14" s="547"/>
      <c r="E14" s="288"/>
      <c r="F14" s="288"/>
      <c r="G14" s="229">
        <f t="shared" si="0"/>
        <v>0</v>
      </c>
      <c r="H14" s="288"/>
      <c r="I14" s="288"/>
      <c r="J14" s="288"/>
      <c r="K14" s="288"/>
      <c r="L14" s="288"/>
      <c r="M14" s="229">
        <f t="shared" si="1"/>
        <v>0</v>
      </c>
      <c r="N14" s="229">
        <f t="shared" si="2"/>
        <v>0</v>
      </c>
      <c r="O14" s="229">
        <f t="shared" si="3"/>
        <v>0</v>
      </c>
      <c r="P14" s="288"/>
      <c r="Q14" s="288"/>
      <c r="R14" s="255"/>
      <c r="S14" s="255"/>
    </row>
    <row r="15" spans="1:19">
      <c r="A15" s="229" t="str">
        <f>IF(OR(G15&gt;0,O15&gt;0),基础信息!$B$1,"")</f>
        <v/>
      </c>
      <c r="B15" s="288"/>
      <c r="C15" s="288"/>
      <c r="D15" s="547"/>
      <c r="E15" s="288"/>
      <c r="F15" s="288"/>
      <c r="G15" s="229">
        <f t="shared" si="0"/>
        <v>0</v>
      </c>
      <c r="H15" s="288"/>
      <c r="I15" s="288"/>
      <c r="J15" s="288"/>
      <c r="K15" s="288"/>
      <c r="L15" s="288"/>
      <c r="M15" s="229">
        <f t="shared" si="1"/>
        <v>0</v>
      </c>
      <c r="N15" s="229">
        <f t="shared" si="2"/>
        <v>0</v>
      </c>
      <c r="O15" s="229">
        <f t="shared" si="3"/>
        <v>0</v>
      </c>
      <c r="P15" s="288"/>
      <c r="Q15" s="288"/>
      <c r="R15" s="255"/>
      <c r="S15" s="255"/>
    </row>
    <row r="16" spans="1:19">
      <c r="A16" s="229" t="str">
        <f>IF(OR(G16&gt;0,O16&gt;0),基础信息!$B$1,"")</f>
        <v/>
      </c>
      <c r="B16" s="288"/>
      <c r="C16" s="288"/>
      <c r="D16" s="547"/>
      <c r="E16" s="288"/>
      <c r="F16" s="288"/>
      <c r="G16" s="229">
        <f t="shared" si="0"/>
        <v>0</v>
      </c>
      <c r="H16" s="288"/>
      <c r="I16" s="288"/>
      <c r="J16" s="288"/>
      <c r="K16" s="288"/>
      <c r="L16" s="288"/>
      <c r="M16" s="229">
        <f t="shared" si="1"/>
        <v>0</v>
      </c>
      <c r="N16" s="229">
        <f t="shared" si="2"/>
        <v>0</v>
      </c>
      <c r="O16" s="229">
        <f t="shared" si="3"/>
        <v>0</v>
      </c>
      <c r="P16" s="288"/>
      <c r="Q16" s="288"/>
      <c r="R16" s="255"/>
      <c r="S16" s="255"/>
    </row>
    <row r="17" spans="1:19">
      <c r="A17" s="229" t="str">
        <f>IF(OR(G17&gt;0,O17&gt;0),基础信息!$B$1,"")</f>
        <v/>
      </c>
      <c r="B17" s="288"/>
      <c r="C17" s="288"/>
      <c r="D17" s="547"/>
      <c r="E17" s="288"/>
      <c r="F17" s="288"/>
      <c r="G17" s="229">
        <f t="shared" si="0"/>
        <v>0</v>
      </c>
      <c r="H17" s="288"/>
      <c r="I17" s="288"/>
      <c r="J17" s="288"/>
      <c r="K17" s="288"/>
      <c r="L17" s="288"/>
      <c r="M17" s="229">
        <f t="shared" si="1"/>
        <v>0</v>
      </c>
      <c r="N17" s="229">
        <f t="shared" si="2"/>
        <v>0</v>
      </c>
      <c r="O17" s="229">
        <f t="shared" si="3"/>
        <v>0</v>
      </c>
      <c r="P17" s="288"/>
      <c r="Q17" s="288"/>
      <c r="R17" s="255"/>
      <c r="S17" s="255"/>
    </row>
    <row r="18" spans="1:19">
      <c r="A18" s="229" t="str">
        <f>IF(OR(G18&gt;0,O18&gt;0),基础信息!$B$1,"")</f>
        <v/>
      </c>
      <c r="B18" s="288"/>
      <c r="C18" s="288"/>
      <c r="D18" s="547"/>
      <c r="E18" s="288"/>
      <c r="F18" s="288"/>
      <c r="G18" s="229">
        <f t="shared" si="0"/>
        <v>0</v>
      </c>
      <c r="H18" s="288"/>
      <c r="I18" s="288"/>
      <c r="J18" s="288"/>
      <c r="K18" s="288"/>
      <c r="L18" s="288"/>
      <c r="M18" s="229">
        <f t="shared" si="1"/>
        <v>0</v>
      </c>
      <c r="N18" s="229">
        <f t="shared" si="2"/>
        <v>0</v>
      </c>
      <c r="O18" s="229">
        <f t="shared" si="3"/>
        <v>0</v>
      </c>
      <c r="P18" s="288"/>
      <c r="Q18" s="288"/>
      <c r="R18" s="255"/>
      <c r="S18" s="255"/>
    </row>
    <row r="19" spans="1:19">
      <c r="A19" s="229" t="str">
        <f>IF(OR(G19&gt;0,O19&gt;0),基础信息!$B$1,"")</f>
        <v/>
      </c>
      <c r="B19" s="288"/>
      <c r="C19" s="288"/>
      <c r="D19" s="547"/>
      <c r="E19" s="288"/>
      <c r="F19" s="288"/>
      <c r="G19" s="229">
        <f t="shared" si="0"/>
        <v>0</v>
      </c>
      <c r="H19" s="288"/>
      <c r="I19" s="288"/>
      <c r="J19" s="288"/>
      <c r="K19" s="288"/>
      <c r="L19" s="288"/>
      <c r="M19" s="229">
        <f t="shared" si="1"/>
        <v>0</v>
      </c>
      <c r="N19" s="229">
        <f t="shared" si="2"/>
        <v>0</v>
      </c>
      <c r="O19" s="229">
        <f t="shared" si="3"/>
        <v>0</v>
      </c>
      <c r="P19" s="288"/>
      <c r="Q19" s="288"/>
      <c r="R19" s="255"/>
      <c r="S19" s="255"/>
    </row>
    <row r="20" spans="1:19">
      <c r="A20" s="229" t="str">
        <f>IF(OR(G20&gt;0,O20&gt;0),基础信息!$B$1,"")</f>
        <v/>
      </c>
      <c r="B20" s="288"/>
      <c r="C20" s="288"/>
      <c r="D20" s="547"/>
      <c r="E20" s="288"/>
      <c r="F20" s="288"/>
      <c r="G20" s="229">
        <f t="shared" si="0"/>
        <v>0</v>
      </c>
      <c r="H20" s="288"/>
      <c r="I20" s="288"/>
      <c r="J20" s="288"/>
      <c r="K20" s="288"/>
      <c r="L20" s="288"/>
      <c r="M20" s="229">
        <f t="shared" si="1"/>
        <v>0</v>
      </c>
      <c r="N20" s="229">
        <f t="shared" si="2"/>
        <v>0</v>
      </c>
      <c r="O20" s="229">
        <f t="shared" si="3"/>
        <v>0</v>
      </c>
      <c r="P20" s="288"/>
      <c r="Q20" s="288"/>
      <c r="R20" s="255"/>
      <c r="S20" s="255"/>
    </row>
    <row r="21" spans="1:19">
      <c r="A21" s="229" t="str">
        <f>IF(OR(G21&gt;0,O21&gt;0),基础信息!$B$1,"")</f>
        <v/>
      </c>
      <c r="B21" s="288"/>
      <c r="C21" s="288"/>
      <c r="D21" s="547"/>
      <c r="E21" s="288"/>
      <c r="F21" s="288"/>
      <c r="G21" s="229">
        <f t="shared" si="0"/>
        <v>0</v>
      </c>
      <c r="H21" s="288"/>
      <c r="I21" s="288"/>
      <c r="J21" s="288"/>
      <c r="K21" s="288"/>
      <c r="L21" s="288"/>
      <c r="M21" s="229">
        <f t="shared" si="1"/>
        <v>0</v>
      </c>
      <c r="N21" s="229">
        <f t="shared" si="2"/>
        <v>0</v>
      </c>
      <c r="O21" s="229">
        <f t="shared" si="3"/>
        <v>0</v>
      </c>
      <c r="P21" s="288"/>
      <c r="Q21" s="288"/>
      <c r="R21" s="255"/>
      <c r="S21" s="255"/>
    </row>
    <row r="22" spans="1:19">
      <c r="A22" s="229" t="str">
        <f>IF(OR(G22&gt;0,O22&gt;0),基础信息!$B$1,"")</f>
        <v/>
      </c>
      <c r="B22" s="288"/>
      <c r="C22" s="288"/>
      <c r="D22" s="547"/>
      <c r="E22" s="288"/>
      <c r="F22" s="288"/>
      <c r="G22" s="229">
        <f t="shared" si="0"/>
        <v>0</v>
      </c>
      <c r="H22" s="288"/>
      <c r="I22" s="288"/>
      <c r="J22" s="288"/>
      <c r="K22" s="288"/>
      <c r="L22" s="288"/>
      <c r="M22" s="229">
        <f t="shared" si="1"/>
        <v>0</v>
      </c>
      <c r="N22" s="229">
        <f t="shared" si="2"/>
        <v>0</v>
      </c>
      <c r="O22" s="229">
        <f t="shared" si="3"/>
        <v>0</v>
      </c>
      <c r="P22" s="288"/>
      <c r="Q22" s="288"/>
      <c r="R22" s="255"/>
      <c r="S22" s="255"/>
    </row>
    <row r="23" spans="1:19">
      <c r="A23" s="229" t="str">
        <f>IF(OR(G23&gt;0,O23&gt;0),基础信息!$B$1,"")</f>
        <v/>
      </c>
      <c r="B23" s="288"/>
      <c r="C23" s="288"/>
      <c r="D23" s="547"/>
      <c r="E23" s="288"/>
      <c r="F23" s="288"/>
      <c r="G23" s="229">
        <f t="shared" si="0"/>
        <v>0</v>
      </c>
      <c r="H23" s="288"/>
      <c r="I23" s="288"/>
      <c r="J23" s="288"/>
      <c r="K23" s="288"/>
      <c r="L23" s="288"/>
      <c r="M23" s="229">
        <f t="shared" si="1"/>
        <v>0</v>
      </c>
      <c r="N23" s="229">
        <f t="shared" si="2"/>
        <v>0</v>
      </c>
      <c r="O23" s="229">
        <f t="shared" si="3"/>
        <v>0</v>
      </c>
      <c r="P23" s="288"/>
      <c r="Q23" s="288"/>
      <c r="R23" s="255"/>
      <c r="S23"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758434-6943-45C6-8F53-1EACC9A9CDBA}">
          <x14:formula1>
            <xm:f>分类表!$96:$96</xm:f>
          </x14:formula1>
          <xm:sqref>D2:D23</xm:sqref>
        </x14:dataValidation>
      </x14:dataValidations>
    </ext>
  </extLst>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codeName="Sheet192">
    <tabColor rgb="FFFFC000"/>
  </sheetPr>
  <dimension ref="A1:C12"/>
  <sheetViews>
    <sheetView workbookViewId="0">
      <selection activeCell="C16" sqref="C16"/>
    </sheetView>
  </sheetViews>
  <sheetFormatPr defaultRowHeight="13.8"/>
  <cols>
    <col min="1" max="1" width="55.5546875" style="18" bestFit="1" customWidth="1"/>
    <col min="2" max="2" width="9.5546875" style="18" bestFit="1" customWidth="1"/>
    <col min="3" max="16384" width="8.88671875" style="18"/>
  </cols>
  <sheetData>
    <row r="1" spans="1:3" ht="14.4">
      <c r="A1" s="35" t="s">
        <v>28</v>
      </c>
      <c r="B1" s="35" t="s">
        <v>199</v>
      </c>
      <c r="C1" s="35" t="s">
        <v>200</v>
      </c>
    </row>
    <row r="2" spans="1:3" ht="14.4">
      <c r="A2" s="276" t="s">
        <v>2372</v>
      </c>
      <c r="B2" s="292">
        <f>ROUND(SUMIF(其他非流动金融资产明细表!C:C,A2,其他非流动金融资产明细表!J:J),2)</f>
        <v>0</v>
      </c>
      <c r="C2" s="292">
        <f>ROUND(SUMIF(其他非流动金融资产明细表!C:C,其他非流动金融资产!A2,其他非流动金融资产明细表!E:E),2)</f>
        <v>0</v>
      </c>
    </row>
    <row r="3" spans="1:3" ht="14.4">
      <c r="A3" s="276" t="s">
        <v>2371</v>
      </c>
      <c r="B3" s="292">
        <f>ROUND(SUMIF(其他非流动金融资产明细表!C:C,A3,其他非流动金融资产明细表!J:J),2)</f>
        <v>0</v>
      </c>
      <c r="C3" s="292">
        <f>ROUND(SUMIF(其他非流动金融资产明细表!C:C,其他非流动金融资产!A3,其他非流动金融资产明细表!E:E),2)</f>
        <v>0</v>
      </c>
    </row>
    <row r="4" spans="1:3" ht="14.4">
      <c r="A4" s="276" t="s">
        <v>2374</v>
      </c>
      <c r="B4" s="292">
        <f>ROUND(SUMIF(其他非流动金融资产明细表!C:C,A4,其他非流动金融资产明细表!J:J),2)</f>
        <v>0</v>
      </c>
      <c r="C4" s="292">
        <f>ROUND(SUMIF(其他非流动金融资产明细表!C:C,其他非流动金融资产!A4,其他非流动金融资产明细表!E:E),2)</f>
        <v>0</v>
      </c>
    </row>
    <row r="5" spans="1:3" ht="14.4">
      <c r="A5" s="276"/>
      <c r="B5" s="292">
        <f>ROUND(SUMIF(其他非流动金融资产明细表!C:C,A5,其他非流动金融资产明细表!J:J),2)</f>
        <v>0</v>
      </c>
      <c r="C5" s="292">
        <f>ROUND(SUMIF(其他非流动金融资产明细表!C:C,其他非流动金融资产!A5,其他非流动金融资产明细表!E:E),2)</f>
        <v>0</v>
      </c>
    </row>
    <row r="6" spans="1:3" ht="14.4">
      <c r="A6" s="276"/>
      <c r="B6" s="292">
        <f>ROUND(SUMIF(其他非流动金融资产明细表!C:C,A6,其他非流动金融资产明细表!J:J),2)</f>
        <v>0</v>
      </c>
      <c r="C6" s="292">
        <f>ROUND(SUMIF(其他非流动金融资产明细表!C:C,其他非流动金融资产!A6,其他非流动金融资产明细表!E:E),2)</f>
        <v>0</v>
      </c>
    </row>
    <row r="7" spans="1:3" ht="14.4">
      <c r="A7" s="276"/>
      <c r="B7" s="292">
        <f>ROUND(SUMIF(其他非流动金融资产明细表!C:C,A7,其他非流动金融资产明细表!J:J),2)</f>
        <v>0</v>
      </c>
      <c r="C7" s="292">
        <f>ROUND(SUMIF(其他非流动金融资产明细表!C:C,其他非流动金融资产!A7,其他非流动金融资产明细表!E:E),2)</f>
        <v>0</v>
      </c>
    </row>
    <row r="8" spans="1:3" ht="14.4">
      <c r="A8" s="276"/>
      <c r="B8" s="292">
        <f>ROUND(SUMIF(其他非流动金融资产明细表!C:C,A8,其他非流动金融资产明细表!J:J),2)</f>
        <v>0</v>
      </c>
      <c r="C8" s="292">
        <f>ROUND(SUMIF(其他非流动金融资产明细表!C:C,其他非流动金融资产!A8,其他非流动金融资产明细表!E:E),2)</f>
        <v>0</v>
      </c>
    </row>
    <row r="9" spans="1:3" ht="14.4">
      <c r="A9" s="276"/>
      <c r="B9" s="292">
        <f>ROUND(SUMIF(其他非流动金融资产明细表!C:C,A9,其他非流动金融资产明细表!J:J),2)</f>
        <v>0</v>
      </c>
      <c r="C9" s="292">
        <f>ROUND(SUMIF(其他非流动金融资产明细表!C:C,其他非流动金融资产!A9,其他非流动金融资产明细表!E:E),2)</f>
        <v>0</v>
      </c>
    </row>
    <row r="10" spans="1:3" ht="14.4">
      <c r="A10" s="276"/>
      <c r="B10" s="292">
        <f>ROUND(SUMIF(其他非流动金融资产明细表!C:C,A10,其他非流动金融资产明细表!J:J),2)</f>
        <v>0</v>
      </c>
      <c r="C10" s="292">
        <f>ROUND(SUMIF(其他非流动金融资产明细表!C:C,其他非流动金融资产!A10,其他非流动金融资产明细表!E:E),2)</f>
        <v>0</v>
      </c>
    </row>
    <row r="11" spans="1:3" ht="14.4">
      <c r="A11" s="276"/>
      <c r="B11" s="292">
        <f>ROUND(SUMIF(其他非流动金融资产明细表!C:C,A11,其他非流动金融资产明细表!J:J),2)</f>
        <v>0</v>
      </c>
      <c r="C11" s="292">
        <f>ROUND(SUMIF(其他非流动金融资产明细表!C:C,其他非流动金融资产!A11,其他非流动金融资产明细表!E:E),2)</f>
        <v>0</v>
      </c>
    </row>
    <row r="12" spans="1:3" ht="14.4">
      <c r="A12" s="35" t="s">
        <v>204</v>
      </c>
      <c r="B12" s="630">
        <f>ROUND(SUM(B2:B11),2)</f>
        <v>0</v>
      </c>
      <c r="C12" s="630">
        <f>ROUND(SUM(C2:C11),2)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121EBE-8C09-4394-92D3-086E25637063}">
          <x14:formula1>
            <xm:f>分类表!$87:$87</xm:f>
          </x14:formula1>
          <xm:sqref>A2:A11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sheetPr codeName="Sheet17"/>
  <dimension ref="A1:O34"/>
  <sheetViews>
    <sheetView workbookViewId="0">
      <pane xSplit="1" ySplit="1" topLeftCell="B2" activePane="bottomRight" state="frozen"/>
      <selection pane="topRight" activeCell="B1" sqref="B1"/>
      <selection pane="bottomLeft" activeCell="A2" sqref="A2"/>
      <selection pane="bottomRight" activeCell="F20" sqref="F20"/>
    </sheetView>
  </sheetViews>
  <sheetFormatPr defaultRowHeight="11.4"/>
  <cols>
    <col min="1" max="1" width="37.6640625" style="142" bestFit="1" customWidth="1"/>
    <col min="2" max="2" width="15.21875" style="142" bestFit="1" customWidth="1"/>
    <col min="3" max="11" width="8.88671875" style="142"/>
    <col min="12" max="12" width="15.109375" style="142" bestFit="1" customWidth="1"/>
    <col min="13" max="13" width="22.88671875" style="142" customWidth="1"/>
    <col min="14" max="14" width="12.21875" style="142" customWidth="1"/>
    <col min="15" max="15" width="15.109375" style="142" bestFit="1" customWidth="1"/>
    <col min="16" max="16384" width="8.88671875" style="142"/>
  </cols>
  <sheetData>
    <row r="1" spans="1:15" ht="21.6">
      <c r="A1" s="141" t="s">
        <v>1481</v>
      </c>
      <c r="B1" s="141" t="s">
        <v>1482</v>
      </c>
      <c r="C1" s="141" t="s">
        <v>1057</v>
      </c>
      <c r="D1" s="141" t="s">
        <v>1483</v>
      </c>
      <c r="E1" s="141" t="s">
        <v>391</v>
      </c>
      <c r="F1" s="141" t="s">
        <v>1484</v>
      </c>
      <c r="G1" s="141" t="s">
        <v>1485</v>
      </c>
      <c r="H1" s="141" t="s">
        <v>69</v>
      </c>
      <c r="I1" s="141" t="s">
        <v>1486</v>
      </c>
      <c r="J1" s="141" t="s">
        <v>71</v>
      </c>
      <c r="K1" s="141" t="s">
        <v>1487</v>
      </c>
      <c r="L1" s="141" t="s">
        <v>73</v>
      </c>
      <c r="M1" s="141" t="s">
        <v>1488</v>
      </c>
      <c r="N1" s="141" t="s">
        <v>1489</v>
      </c>
      <c r="O1" s="141" t="s">
        <v>1490</v>
      </c>
    </row>
    <row r="2" spans="1:15">
      <c r="A2" s="143" t="s">
        <v>1470</v>
      </c>
      <c r="B2" s="144"/>
      <c r="C2" s="144"/>
      <c r="D2" s="144"/>
      <c r="E2" s="144"/>
      <c r="F2" s="144"/>
      <c r="G2" s="144"/>
      <c r="H2" s="144"/>
      <c r="I2" s="144"/>
      <c r="J2" s="144"/>
      <c r="K2" s="144"/>
      <c r="L2" s="144"/>
      <c r="M2" s="145">
        <f>ROUND(SUM(B2:L2),2)</f>
        <v>0</v>
      </c>
      <c r="N2" s="144"/>
      <c r="O2" s="145">
        <f>ROUND(M2+N2,2)</f>
        <v>0</v>
      </c>
    </row>
    <row r="3" spans="1:15">
      <c r="A3" s="146" t="s">
        <v>1471</v>
      </c>
      <c r="B3" s="144"/>
      <c r="C3" s="144"/>
      <c r="D3" s="144"/>
      <c r="E3" s="144"/>
      <c r="F3" s="144"/>
      <c r="G3" s="144"/>
      <c r="H3" s="144"/>
      <c r="I3" s="144"/>
      <c r="J3" s="144"/>
      <c r="K3" s="144"/>
      <c r="L3" s="144"/>
      <c r="M3" s="145">
        <f t="shared" ref="M3:M34" si="0">ROUND(SUM(B3:L3),2)</f>
        <v>0</v>
      </c>
      <c r="N3" s="144"/>
      <c r="O3" s="145">
        <f t="shared" ref="O3:O34" si="1">ROUND(M3+N3,2)</f>
        <v>0</v>
      </c>
    </row>
    <row r="4" spans="1:15">
      <c r="A4" s="146" t="s">
        <v>1472</v>
      </c>
      <c r="B4" s="144"/>
      <c r="C4" s="144"/>
      <c r="D4" s="144"/>
      <c r="E4" s="144"/>
      <c r="F4" s="144"/>
      <c r="G4" s="144"/>
      <c r="H4" s="144"/>
      <c r="I4" s="144"/>
      <c r="J4" s="144"/>
      <c r="K4" s="144"/>
      <c r="L4" s="144"/>
      <c r="M4" s="145">
        <f t="shared" si="0"/>
        <v>0</v>
      </c>
      <c r="N4" s="144"/>
      <c r="O4" s="145">
        <f t="shared" si="1"/>
        <v>0</v>
      </c>
    </row>
    <row r="5" spans="1:15">
      <c r="A5" s="146" t="s">
        <v>4595</v>
      </c>
      <c r="B5" s="144"/>
      <c r="C5" s="144"/>
      <c r="D5" s="144"/>
      <c r="E5" s="144"/>
      <c r="F5" s="144"/>
      <c r="G5" s="144"/>
      <c r="H5" s="144"/>
      <c r="I5" s="144"/>
      <c r="J5" s="144"/>
      <c r="K5" s="144"/>
      <c r="L5" s="144"/>
      <c r="M5" s="145">
        <f t="shared" si="0"/>
        <v>0</v>
      </c>
      <c r="N5" s="144"/>
      <c r="O5" s="145">
        <f t="shared" si="1"/>
        <v>0</v>
      </c>
    </row>
    <row r="6" spans="1:15">
      <c r="A6" s="143" t="s">
        <v>1473</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0</v>
      </c>
      <c r="M6" s="145">
        <f t="shared" si="0"/>
        <v>0</v>
      </c>
      <c r="N6" s="145">
        <f t="shared" si="2"/>
        <v>0</v>
      </c>
      <c r="O6" s="145">
        <f t="shared" si="1"/>
        <v>0</v>
      </c>
    </row>
    <row r="7" spans="1:15">
      <c r="A7" s="147" t="s">
        <v>1474</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0</v>
      </c>
      <c r="M7" s="145">
        <f t="shared" si="0"/>
        <v>0</v>
      </c>
      <c r="N7" s="145">
        <f t="shared" si="3"/>
        <v>0</v>
      </c>
      <c r="O7" s="145">
        <f t="shared" si="1"/>
        <v>0</v>
      </c>
    </row>
    <row r="8" spans="1:15">
      <c r="A8" s="146" t="s">
        <v>1475</v>
      </c>
      <c r="B8" s="144"/>
      <c r="C8" s="144"/>
      <c r="D8" s="144"/>
      <c r="E8" s="144"/>
      <c r="F8" s="144"/>
      <c r="G8" s="144"/>
      <c r="H8" s="144">
        <f>上期TB!H216</f>
        <v>0</v>
      </c>
      <c r="I8" s="144"/>
      <c r="J8" s="144"/>
      <c r="K8" s="144"/>
      <c r="L8" s="144">
        <f>ROUND(上期TB!H213,2)</f>
        <v>0</v>
      </c>
      <c r="M8" s="145">
        <f t="shared" si="0"/>
        <v>0</v>
      </c>
      <c r="N8" s="144">
        <f>ROUND(上期TB!H236,2)</f>
        <v>0</v>
      </c>
      <c r="O8" s="145">
        <f t="shared" si="1"/>
        <v>0</v>
      </c>
    </row>
    <row r="9" spans="1:15">
      <c r="A9" s="146" t="s">
        <v>1476</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146" t="s">
        <v>1524</v>
      </c>
      <c r="B10" s="144"/>
      <c r="C10" s="144"/>
      <c r="D10" s="144"/>
      <c r="E10" s="144"/>
      <c r="F10" s="144"/>
      <c r="G10" s="144"/>
      <c r="H10" s="144"/>
      <c r="I10" s="144"/>
      <c r="J10" s="144"/>
      <c r="K10" s="144"/>
      <c r="L10" s="144"/>
      <c r="M10" s="145">
        <f t="shared" si="0"/>
        <v>0</v>
      </c>
      <c r="N10" s="144"/>
      <c r="O10" s="145">
        <f t="shared" si="1"/>
        <v>0</v>
      </c>
    </row>
    <row r="11" spans="1:15">
      <c r="A11" s="146" t="s">
        <v>1525</v>
      </c>
      <c r="B11" s="144"/>
      <c r="C11" s="144"/>
      <c r="D11" s="144"/>
      <c r="E11" s="144"/>
      <c r="F11" s="144"/>
      <c r="G11" s="144"/>
      <c r="H11" s="144"/>
      <c r="I11" s="144"/>
      <c r="J11" s="144"/>
      <c r="K11" s="144"/>
      <c r="L11" s="144"/>
      <c r="M11" s="145">
        <f t="shared" si="0"/>
        <v>0</v>
      </c>
      <c r="N11" s="144"/>
      <c r="O11" s="145">
        <f t="shared" si="1"/>
        <v>0</v>
      </c>
    </row>
    <row r="12" spans="1:15">
      <c r="A12" s="146" t="s">
        <v>1526</v>
      </c>
      <c r="B12" s="144"/>
      <c r="C12" s="144"/>
      <c r="D12" s="144"/>
      <c r="E12" s="144"/>
      <c r="F12" s="144"/>
      <c r="G12" s="144"/>
      <c r="H12" s="144"/>
      <c r="I12" s="144"/>
      <c r="J12" s="144"/>
      <c r="K12" s="144"/>
      <c r="L12" s="144"/>
      <c r="M12" s="145">
        <f t="shared" si="0"/>
        <v>0</v>
      </c>
      <c r="N12" s="144"/>
      <c r="O12" s="145">
        <f t="shared" si="1"/>
        <v>0</v>
      </c>
    </row>
    <row r="13" spans="1:15">
      <c r="A13" s="146" t="s">
        <v>4594</v>
      </c>
      <c r="B13" s="144"/>
      <c r="C13" s="144"/>
      <c r="D13" s="144"/>
      <c r="E13" s="144"/>
      <c r="F13" s="144"/>
      <c r="G13" s="144"/>
      <c r="H13" s="144"/>
      <c r="I13" s="144"/>
      <c r="J13" s="144"/>
      <c r="K13" s="144"/>
      <c r="L13" s="144"/>
      <c r="M13" s="145">
        <f t="shared" si="0"/>
        <v>0</v>
      </c>
      <c r="N13" s="144"/>
      <c r="O13" s="145">
        <f t="shared" si="1"/>
        <v>0</v>
      </c>
    </row>
    <row r="14" spans="1:15">
      <c r="A14" s="146" t="s">
        <v>1477</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146" t="s">
        <v>1527</v>
      </c>
      <c r="B15" s="144"/>
      <c r="C15" s="144"/>
      <c r="D15" s="144"/>
      <c r="E15" s="144"/>
      <c r="F15" s="144"/>
      <c r="G15" s="144"/>
      <c r="H15" s="144"/>
      <c r="I15" s="144"/>
      <c r="J15" s="144"/>
      <c r="K15" s="144"/>
      <c r="L15" s="144"/>
      <c r="M15" s="145">
        <f t="shared" si="0"/>
        <v>0</v>
      </c>
      <c r="N15" s="144"/>
      <c r="O15" s="145">
        <f t="shared" si="1"/>
        <v>0</v>
      </c>
    </row>
    <row r="16" spans="1:15">
      <c r="A16" s="146" t="s">
        <v>1528</v>
      </c>
      <c r="B16" s="144"/>
      <c r="C16" s="144"/>
      <c r="D16" s="144"/>
      <c r="E16" s="144"/>
      <c r="F16" s="144"/>
      <c r="G16" s="144"/>
      <c r="H16" s="144"/>
      <c r="I16" s="144"/>
      <c r="J16" s="144"/>
      <c r="K16" s="144"/>
      <c r="L16" s="144"/>
      <c r="M16" s="145">
        <f t="shared" si="0"/>
        <v>0</v>
      </c>
      <c r="N16" s="144"/>
      <c r="O16" s="145">
        <f t="shared" si="1"/>
        <v>0</v>
      </c>
    </row>
    <row r="17" spans="1:15">
      <c r="A17" s="146" t="s">
        <v>1478</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146" t="s">
        <v>1529</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146" t="s">
        <v>1401</v>
      </c>
      <c r="B19" s="144"/>
      <c r="C19" s="144"/>
      <c r="D19" s="144"/>
      <c r="E19" s="144"/>
      <c r="F19" s="144"/>
      <c r="G19" s="144"/>
      <c r="H19" s="144"/>
      <c r="I19" s="144"/>
      <c r="J19" s="144">
        <f>ROUND(上期TB!H244,2)</f>
        <v>0</v>
      </c>
      <c r="K19" s="144"/>
      <c r="L19" s="144">
        <f>ROUND(-J19,2)</f>
        <v>0</v>
      </c>
      <c r="M19" s="145">
        <f t="shared" si="0"/>
        <v>0</v>
      </c>
      <c r="N19" s="144"/>
      <c r="O19" s="145">
        <f t="shared" si="1"/>
        <v>0</v>
      </c>
    </row>
    <row r="20" spans="1:15">
      <c r="A20" s="146" t="s">
        <v>1402</v>
      </c>
      <c r="B20" s="144"/>
      <c r="C20" s="144"/>
      <c r="D20" s="144"/>
      <c r="E20" s="144"/>
      <c r="F20" s="144"/>
      <c r="G20" s="144"/>
      <c r="H20" s="144"/>
      <c r="I20" s="144"/>
      <c r="J20" s="144">
        <f>ROUND(上期TB!H252,2)</f>
        <v>0</v>
      </c>
      <c r="K20" s="144"/>
      <c r="L20" s="144">
        <f>ROUND(-J20,2)</f>
        <v>0</v>
      </c>
      <c r="M20" s="145">
        <f t="shared" si="0"/>
        <v>0</v>
      </c>
      <c r="N20" s="144"/>
      <c r="O20" s="145">
        <f t="shared" si="1"/>
        <v>0</v>
      </c>
    </row>
    <row r="21" spans="1:15">
      <c r="A21" s="146" t="s">
        <v>1403</v>
      </c>
      <c r="B21" s="144"/>
      <c r="C21" s="144"/>
      <c r="D21" s="144"/>
      <c r="E21" s="144"/>
      <c r="F21" s="144"/>
      <c r="G21" s="144"/>
      <c r="H21" s="144"/>
      <c r="I21" s="144"/>
      <c r="J21" s="144">
        <f>ROUND(上期TB!H247,2)</f>
        <v>0</v>
      </c>
      <c r="K21" s="144"/>
      <c r="L21" s="144">
        <f>ROUND(-J21,2)</f>
        <v>0</v>
      </c>
      <c r="M21" s="145">
        <f t="shared" si="0"/>
        <v>0</v>
      </c>
      <c r="N21" s="144"/>
      <c r="O21" s="145">
        <f t="shared" si="1"/>
        <v>0</v>
      </c>
    </row>
    <row r="22" spans="1:15">
      <c r="A22" s="146" t="s">
        <v>1404</v>
      </c>
      <c r="B22" s="144"/>
      <c r="C22" s="144"/>
      <c r="D22" s="144"/>
      <c r="E22" s="144"/>
      <c r="F22" s="144"/>
      <c r="G22" s="144"/>
      <c r="H22" s="144"/>
      <c r="I22" s="144"/>
      <c r="J22" s="144">
        <f>ROUND(上期TB!H248,2)</f>
        <v>0</v>
      </c>
      <c r="K22" s="144"/>
      <c r="L22" s="144">
        <f>ROUND(-J22,2)</f>
        <v>0</v>
      </c>
      <c r="M22" s="145">
        <f t="shared" si="0"/>
        <v>0</v>
      </c>
      <c r="N22" s="144"/>
      <c r="O22" s="145">
        <f t="shared" si="1"/>
        <v>0</v>
      </c>
    </row>
    <row r="23" spans="1:15">
      <c r="A23" s="146" t="s">
        <v>1405</v>
      </c>
      <c r="B23" s="144"/>
      <c r="C23" s="144"/>
      <c r="D23" s="144"/>
      <c r="E23" s="144"/>
      <c r="F23" s="144"/>
      <c r="G23" s="144"/>
      <c r="H23" s="144"/>
      <c r="I23" s="144"/>
      <c r="J23" s="144">
        <f>ROUND(上期TB!H249,2)</f>
        <v>0</v>
      </c>
      <c r="K23" s="144"/>
      <c r="L23" s="144">
        <f>ROUND(-J23,2)</f>
        <v>0</v>
      </c>
      <c r="M23" s="145">
        <f t="shared" si="0"/>
        <v>0</v>
      </c>
      <c r="N23" s="144"/>
      <c r="O23" s="145">
        <f t="shared" si="1"/>
        <v>0</v>
      </c>
    </row>
    <row r="24" spans="1:15">
      <c r="A24" s="146" t="s">
        <v>1530</v>
      </c>
      <c r="B24" s="144"/>
      <c r="C24" s="144"/>
      <c r="D24" s="144"/>
      <c r="E24" s="144"/>
      <c r="F24" s="144"/>
      <c r="G24" s="144"/>
      <c r="H24" s="144"/>
      <c r="I24" s="144"/>
      <c r="J24" s="144"/>
      <c r="K24" s="144"/>
      <c r="L24" s="144"/>
      <c r="M24" s="145">
        <f t="shared" si="0"/>
        <v>0</v>
      </c>
      <c r="N24" s="144"/>
      <c r="O24" s="145">
        <f t="shared" si="1"/>
        <v>0</v>
      </c>
    </row>
    <row r="25" spans="1:15">
      <c r="A25" s="146" t="s">
        <v>1531</v>
      </c>
      <c r="B25" s="144"/>
      <c r="C25" s="144"/>
      <c r="D25" s="144"/>
      <c r="E25" s="144"/>
      <c r="F25" s="144"/>
      <c r="G25" s="144"/>
      <c r="H25" s="144"/>
      <c r="I25" s="144"/>
      <c r="J25" s="144"/>
      <c r="K25" s="144"/>
      <c r="L25" s="144">
        <f>ROUND(-上期TB!H253,2)</f>
        <v>0</v>
      </c>
      <c r="M25" s="145">
        <f t="shared" si="0"/>
        <v>0</v>
      </c>
      <c r="N25" s="144"/>
      <c r="O25" s="145">
        <f t="shared" si="1"/>
        <v>0</v>
      </c>
    </row>
    <row r="26" spans="1:15">
      <c r="A26" s="146" t="s">
        <v>4593</v>
      </c>
      <c r="B26" s="144"/>
      <c r="C26" s="144"/>
      <c r="D26" s="144"/>
      <c r="E26" s="144"/>
      <c r="F26" s="144"/>
      <c r="G26" s="144"/>
      <c r="H26" s="144"/>
      <c r="I26" s="144"/>
      <c r="J26" s="144"/>
      <c r="K26" s="144"/>
      <c r="L26" s="144"/>
      <c r="M26" s="145">
        <f t="shared" si="0"/>
        <v>0</v>
      </c>
      <c r="N26" s="144"/>
      <c r="O26" s="145">
        <f t="shared" si="1"/>
        <v>0</v>
      </c>
    </row>
    <row r="27" spans="1:15">
      <c r="A27" s="146" t="s">
        <v>1479</v>
      </c>
      <c r="B27" s="145">
        <f>ROUND(SUM(B28:B33),2)</f>
        <v>0</v>
      </c>
      <c r="C27" s="145">
        <f t="shared" ref="C27:N27" si="8">ROUND(SUM(C28:C33),2)</f>
        <v>0</v>
      </c>
      <c r="D27" s="145">
        <f t="shared" si="8"/>
        <v>0</v>
      </c>
      <c r="E27" s="145">
        <f t="shared" si="8"/>
        <v>0</v>
      </c>
      <c r="F27" s="145">
        <f t="shared" si="8"/>
        <v>0</v>
      </c>
      <c r="G27" s="145">
        <f t="shared" si="8"/>
        <v>0</v>
      </c>
      <c r="H27" s="145">
        <f t="shared" si="8"/>
        <v>0</v>
      </c>
      <c r="I27" s="145">
        <f t="shared" si="8"/>
        <v>0</v>
      </c>
      <c r="J27" s="145">
        <f t="shared" si="8"/>
        <v>0</v>
      </c>
      <c r="K27" s="145">
        <f t="shared" si="8"/>
        <v>0</v>
      </c>
      <c r="L27" s="145">
        <f t="shared" si="8"/>
        <v>0</v>
      </c>
      <c r="M27" s="145">
        <f t="shared" si="0"/>
        <v>0</v>
      </c>
      <c r="N27" s="145">
        <f t="shared" si="8"/>
        <v>0</v>
      </c>
      <c r="O27" s="145">
        <f t="shared" si="1"/>
        <v>0</v>
      </c>
    </row>
    <row r="28" spans="1:15">
      <c r="A28" s="146" t="s">
        <v>1532</v>
      </c>
      <c r="B28" s="144"/>
      <c r="C28" s="144"/>
      <c r="D28" s="144"/>
      <c r="E28" s="144"/>
      <c r="F28" s="144"/>
      <c r="G28" s="144"/>
      <c r="H28" s="144"/>
      <c r="I28" s="144"/>
      <c r="J28" s="144"/>
      <c r="K28" s="144"/>
      <c r="L28" s="144"/>
      <c r="M28" s="145">
        <f t="shared" si="0"/>
        <v>0</v>
      </c>
      <c r="N28" s="144"/>
      <c r="O28" s="145">
        <f t="shared" si="1"/>
        <v>0</v>
      </c>
    </row>
    <row r="29" spans="1:15">
      <c r="A29" s="146" t="s">
        <v>1533</v>
      </c>
      <c r="B29" s="144"/>
      <c r="C29" s="144"/>
      <c r="D29" s="144"/>
      <c r="E29" s="148"/>
      <c r="F29" s="144"/>
      <c r="G29" s="144"/>
      <c r="H29" s="144"/>
      <c r="I29" s="144"/>
      <c r="J29" s="144"/>
      <c r="K29" s="144"/>
      <c r="L29" s="144"/>
      <c r="M29" s="145">
        <f t="shared" si="0"/>
        <v>0</v>
      </c>
      <c r="N29" s="144"/>
      <c r="O29" s="145">
        <f t="shared" si="1"/>
        <v>0</v>
      </c>
    </row>
    <row r="30" spans="1:15">
      <c r="A30" s="146" t="s">
        <v>1534</v>
      </c>
      <c r="B30" s="144"/>
      <c r="C30" s="144"/>
      <c r="D30" s="144"/>
      <c r="E30" s="144"/>
      <c r="F30" s="144"/>
      <c r="G30" s="144"/>
      <c r="H30" s="144"/>
      <c r="I30" s="144"/>
      <c r="J30" s="144"/>
      <c r="K30" s="144"/>
      <c r="L30" s="144"/>
      <c r="M30" s="145">
        <f t="shared" si="0"/>
        <v>0</v>
      </c>
      <c r="N30" s="144"/>
      <c r="O30" s="145">
        <f t="shared" si="1"/>
        <v>0</v>
      </c>
    </row>
    <row r="31" spans="1:15">
      <c r="A31" s="146" t="s">
        <v>1535</v>
      </c>
      <c r="B31" s="144"/>
      <c r="C31" s="144"/>
      <c r="D31" s="144"/>
      <c r="E31" s="144"/>
      <c r="F31" s="144"/>
      <c r="G31" s="144"/>
      <c r="H31" s="144"/>
      <c r="I31" s="144"/>
      <c r="J31" s="144"/>
      <c r="K31" s="144"/>
      <c r="L31" s="144"/>
      <c r="M31" s="145">
        <f t="shared" si="0"/>
        <v>0</v>
      </c>
      <c r="N31" s="144"/>
      <c r="O31" s="145">
        <f t="shared" si="1"/>
        <v>0</v>
      </c>
    </row>
    <row r="32" spans="1:15">
      <c r="A32" s="146" t="s">
        <v>3141</v>
      </c>
      <c r="B32" s="144"/>
      <c r="C32" s="144"/>
      <c r="D32" s="144"/>
      <c r="E32" s="144"/>
      <c r="F32" s="144"/>
      <c r="G32" s="144"/>
      <c r="H32" s="144"/>
      <c r="I32" s="144"/>
      <c r="J32" s="144"/>
      <c r="K32" s="144"/>
      <c r="L32" s="144"/>
      <c r="M32" s="145">
        <f t="shared" ref="M32:M33" si="9">ROUND(SUM(B32:L32),2)</f>
        <v>0</v>
      </c>
      <c r="N32" s="144"/>
      <c r="O32" s="145">
        <f t="shared" ref="O32:O33" si="10">ROUND(M32+N32,2)</f>
        <v>0</v>
      </c>
    </row>
    <row r="33" spans="1:15">
      <c r="A33" s="146" t="s">
        <v>4592</v>
      </c>
      <c r="B33" s="144"/>
      <c r="C33" s="144"/>
      <c r="D33" s="144"/>
      <c r="E33" s="144"/>
      <c r="F33" s="144"/>
      <c r="G33" s="144"/>
      <c r="H33" s="144"/>
      <c r="I33" s="144"/>
      <c r="J33" s="144"/>
      <c r="K33" s="144"/>
      <c r="L33" s="144"/>
      <c r="M33" s="145">
        <f t="shared" si="9"/>
        <v>0</v>
      </c>
      <c r="N33" s="144"/>
      <c r="O33" s="145">
        <f t="shared" si="10"/>
        <v>0</v>
      </c>
    </row>
    <row r="34" spans="1:15">
      <c r="A34" s="143" t="s">
        <v>1480</v>
      </c>
      <c r="B34" s="149">
        <f>ROUND(B6+B7,2)</f>
        <v>0</v>
      </c>
      <c r="C34" s="149">
        <f t="shared" ref="C34:N34" si="11">ROUND(C6+C7,2)</f>
        <v>0</v>
      </c>
      <c r="D34" s="149">
        <f t="shared" si="11"/>
        <v>0</v>
      </c>
      <c r="E34" s="149">
        <f t="shared" si="11"/>
        <v>0</v>
      </c>
      <c r="F34" s="149">
        <f t="shared" si="11"/>
        <v>0</v>
      </c>
      <c r="G34" s="149">
        <f t="shared" si="11"/>
        <v>0</v>
      </c>
      <c r="H34" s="149">
        <f t="shared" si="11"/>
        <v>0</v>
      </c>
      <c r="I34" s="149">
        <f t="shared" si="11"/>
        <v>0</v>
      </c>
      <c r="J34" s="149">
        <f t="shared" si="11"/>
        <v>0</v>
      </c>
      <c r="K34" s="149">
        <f t="shared" si="11"/>
        <v>0</v>
      </c>
      <c r="L34" s="149">
        <f t="shared" si="11"/>
        <v>0</v>
      </c>
      <c r="M34" s="145">
        <f t="shared" si="0"/>
        <v>0</v>
      </c>
      <c r="N34" s="149">
        <f t="shared" si="11"/>
        <v>0</v>
      </c>
      <c r="O34" s="145">
        <f t="shared" si="1"/>
        <v>0</v>
      </c>
    </row>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896C-FE94-403F-BB3D-1BAF6AB7F3BC}">
  <sheetPr codeName="Sheet193"/>
  <dimension ref="A1:O27"/>
  <sheetViews>
    <sheetView workbookViewId="0">
      <selection activeCell="F23" sqref="F23"/>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9"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1" customFormat="1">
      <c r="A1" s="261" t="s">
        <v>1976</v>
      </c>
      <c r="B1" s="261" t="s">
        <v>2358</v>
      </c>
      <c r="C1" s="261" t="s">
        <v>2359</v>
      </c>
      <c r="D1" s="261" t="s">
        <v>381</v>
      </c>
      <c r="E1" s="261" t="s">
        <v>2360</v>
      </c>
      <c r="F1" s="261" t="s">
        <v>2361</v>
      </c>
      <c r="G1" s="261" t="s">
        <v>2362</v>
      </c>
      <c r="H1" s="261" t="s">
        <v>2363</v>
      </c>
      <c r="I1" s="261" t="s">
        <v>2364</v>
      </c>
      <c r="J1" s="263" t="s">
        <v>2365</v>
      </c>
      <c r="K1" s="261" t="s">
        <v>2366</v>
      </c>
      <c r="L1" s="261" t="s">
        <v>2367</v>
      </c>
      <c r="M1" s="261" t="s">
        <v>2368</v>
      </c>
      <c r="N1" s="261" t="s">
        <v>2369</v>
      </c>
      <c r="O1" s="261" t="s">
        <v>2370</v>
      </c>
    </row>
    <row r="2" spans="1:15">
      <c r="A2" t="str">
        <f>IF(ABS(J2+E2)&gt;0,基础信息!$B$1,"")</f>
        <v/>
      </c>
      <c r="B2" s="255"/>
      <c r="C2" s="276"/>
      <c r="D2" s="255"/>
      <c r="E2" s="255"/>
      <c r="F2" s="255"/>
      <c r="G2" s="255"/>
      <c r="H2" s="255"/>
      <c r="I2" s="255"/>
      <c r="J2" s="229">
        <f t="shared" ref="J2:J23" si="0">E2+F2-G2-H2+I2</f>
        <v>0</v>
      </c>
      <c r="K2" s="255"/>
      <c r="L2" s="255"/>
      <c r="M2" s="255"/>
      <c r="N2">
        <f>K2+L2-M2</f>
        <v>0</v>
      </c>
      <c r="O2" s="255"/>
    </row>
    <row r="3" spans="1:15">
      <c r="A3" t="str">
        <f>IF(ABS(J3+E3)&gt;0,基础信息!$B$1,"")</f>
        <v/>
      </c>
      <c r="B3" s="255"/>
      <c r="C3" s="276"/>
      <c r="D3" s="255"/>
      <c r="E3" s="255"/>
      <c r="F3" s="255"/>
      <c r="G3" s="255"/>
      <c r="H3" s="255"/>
      <c r="I3" s="255"/>
      <c r="J3" s="229">
        <f t="shared" si="0"/>
        <v>0</v>
      </c>
      <c r="K3" s="255"/>
      <c r="L3" s="255"/>
      <c r="M3" s="255"/>
      <c r="N3">
        <f>K3+L3-M3</f>
        <v>0</v>
      </c>
      <c r="O3" s="255"/>
    </row>
    <row r="4" spans="1:15">
      <c r="A4" t="str">
        <f>IF(ABS(J4+E4)&gt;0,基础信息!$B$1,"")</f>
        <v/>
      </c>
      <c r="B4" s="255"/>
      <c r="C4" s="276"/>
      <c r="D4" s="255"/>
      <c r="E4" s="255"/>
      <c r="F4" s="255"/>
      <c r="G4" s="255"/>
      <c r="H4" s="255"/>
      <c r="I4" s="255"/>
      <c r="J4" s="229">
        <f t="shared" si="0"/>
        <v>0</v>
      </c>
      <c r="K4" s="255"/>
      <c r="L4" s="255"/>
      <c r="M4" s="255"/>
      <c r="N4">
        <f>K4+L4-M4</f>
        <v>0</v>
      </c>
      <c r="O4" s="255"/>
    </row>
    <row r="5" spans="1:15">
      <c r="A5" t="str">
        <f>IF(ABS(J5+E5)&gt;0,基础信息!$B$1,"")</f>
        <v/>
      </c>
      <c r="B5" s="255"/>
      <c r="C5" s="276"/>
      <c r="D5" s="255"/>
      <c r="E5" s="255"/>
      <c r="F5" s="255"/>
      <c r="G5" s="255"/>
      <c r="H5" s="255"/>
      <c r="I5" s="255"/>
      <c r="J5" s="229">
        <f t="shared" si="0"/>
        <v>0</v>
      </c>
      <c r="K5" s="255"/>
      <c r="L5" s="255"/>
      <c r="M5" s="255"/>
      <c r="N5">
        <f>K5+L5-M5</f>
        <v>0</v>
      </c>
      <c r="O5" s="255"/>
    </row>
    <row r="6" spans="1:15">
      <c r="A6" t="str">
        <f>IF(ABS(J6+E6)&gt;0,基础信息!$B$1,"")</f>
        <v/>
      </c>
      <c r="B6" s="255"/>
      <c r="C6" s="276"/>
      <c r="D6" s="255"/>
      <c r="E6" s="255"/>
      <c r="F6" s="255"/>
      <c r="G6" s="255"/>
      <c r="H6" s="255"/>
      <c r="I6" s="255"/>
      <c r="J6" s="229">
        <f t="shared" si="0"/>
        <v>0</v>
      </c>
      <c r="K6" s="255"/>
      <c r="L6" s="255"/>
      <c r="M6" s="255"/>
      <c r="N6">
        <f>K6+L6-M6</f>
        <v>0</v>
      </c>
      <c r="O6" s="255"/>
    </row>
    <row r="7" spans="1:15">
      <c r="A7" t="str">
        <f>IF(ABS(J7+E7)&gt;0,基础信息!$B$1,"")</f>
        <v/>
      </c>
      <c r="B7" s="255"/>
      <c r="C7" s="276"/>
      <c r="D7" s="255"/>
      <c r="E7" s="255"/>
      <c r="F7" s="255"/>
      <c r="G7" s="255"/>
      <c r="H7" s="255"/>
      <c r="I7" s="255"/>
      <c r="J7" s="229">
        <f t="shared" si="0"/>
        <v>0</v>
      </c>
      <c r="K7" s="255"/>
      <c r="L7" s="255"/>
      <c r="M7" s="255"/>
      <c r="N7">
        <f t="shared" ref="N7:N22" si="1">K7+L7-M7</f>
        <v>0</v>
      </c>
      <c r="O7" s="255"/>
    </row>
    <row r="8" spans="1:15">
      <c r="A8" t="str">
        <f>IF(ABS(J8+E8)&gt;0,基础信息!$B$1,"")</f>
        <v/>
      </c>
      <c r="B8" s="255"/>
      <c r="C8" s="276"/>
      <c r="D8" s="255"/>
      <c r="E8" s="255"/>
      <c r="F8" s="255"/>
      <c r="G8" s="255"/>
      <c r="H8" s="255"/>
      <c r="I8" s="255"/>
      <c r="J8" s="229">
        <f t="shared" si="0"/>
        <v>0</v>
      </c>
      <c r="K8" s="255"/>
      <c r="L8" s="255"/>
      <c r="M8" s="255"/>
      <c r="N8">
        <f t="shared" si="1"/>
        <v>0</v>
      </c>
      <c r="O8" s="255"/>
    </row>
    <row r="9" spans="1:15">
      <c r="A9" t="str">
        <f>IF(ABS(J9+E9)&gt;0,基础信息!$B$1,"")</f>
        <v/>
      </c>
      <c r="B9" s="255"/>
      <c r="C9" s="276"/>
      <c r="D9" s="255"/>
      <c r="E9" s="255"/>
      <c r="F9" s="255"/>
      <c r="G9" s="255"/>
      <c r="H9" s="255"/>
      <c r="I9" s="255"/>
      <c r="J9" s="229">
        <f t="shared" si="0"/>
        <v>0</v>
      </c>
      <c r="K9" s="255"/>
      <c r="L9" s="255"/>
      <c r="M9" s="255"/>
      <c r="N9">
        <f t="shared" si="1"/>
        <v>0</v>
      </c>
      <c r="O9" s="255"/>
    </row>
    <row r="10" spans="1:15">
      <c r="A10" t="str">
        <f>IF(ABS(J10+E10)&gt;0,基础信息!$B$1,"")</f>
        <v/>
      </c>
      <c r="B10" s="255"/>
      <c r="C10" s="276"/>
      <c r="D10" s="255"/>
      <c r="E10" s="255"/>
      <c r="F10" s="255"/>
      <c r="G10" s="255"/>
      <c r="H10" s="255"/>
      <c r="I10" s="255"/>
      <c r="J10" s="229">
        <f t="shared" si="0"/>
        <v>0</v>
      </c>
      <c r="K10" s="255"/>
      <c r="L10" s="255"/>
      <c r="M10" s="255"/>
      <c r="N10">
        <f t="shared" si="1"/>
        <v>0</v>
      </c>
      <c r="O10" s="255"/>
    </row>
    <row r="11" spans="1:15">
      <c r="A11" t="str">
        <f>IF(ABS(J11+E11)&gt;0,基础信息!$B$1,"")</f>
        <v/>
      </c>
      <c r="B11" s="255"/>
      <c r="C11" s="276"/>
      <c r="D11" s="255"/>
      <c r="E11" s="255"/>
      <c r="F11" s="255"/>
      <c r="G11" s="255"/>
      <c r="H11" s="255"/>
      <c r="I11" s="255"/>
      <c r="J11" s="229">
        <f t="shared" si="0"/>
        <v>0</v>
      </c>
      <c r="K11" s="255"/>
      <c r="L11" s="255"/>
      <c r="M11" s="255"/>
      <c r="N11">
        <f t="shared" si="1"/>
        <v>0</v>
      </c>
      <c r="O11" s="255"/>
    </row>
    <row r="12" spans="1:15">
      <c r="A12" t="str">
        <f>IF(ABS(J12+E12)&gt;0,基础信息!$B$1,"")</f>
        <v/>
      </c>
      <c r="B12" s="255"/>
      <c r="C12" s="276"/>
      <c r="D12" s="255"/>
      <c r="E12" s="255"/>
      <c r="F12" s="255"/>
      <c r="G12" s="255"/>
      <c r="H12" s="255"/>
      <c r="I12" s="255"/>
      <c r="J12" s="229">
        <f t="shared" si="0"/>
        <v>0</v>
      </c>
      <c r="K12" s="255"/>
      <c r="L12" s="255"/>
      <c r="M12" s="255"/>
      <c r="N12">
        <f t="shared" si="1"/>
        <v>0</v>
      </c>
      <c r="O12" s="255"/>
    </row>
    <row r="13" spans="1:15">
      <c r="A13" t="str">
        <f>IF(ABS(J13+E13)&gt;0,基础信息!$B$1,"")</f>
        <v/>
      </c>
      <c r="B13" s="255"/>
      <c r="C13" s="276"/>
      <c r="D13" s="255"/>
      <c r="E13" s="255"/>
      <c r="F13" s="255"/>
      <c r="G13" s="255"/>
      <c r="H13" s="255"/>
      <c r="I13" s="255"/>
      <c r="J13" s="229">
        <f t="shared" si="0"/>
        <v>0</v>
      </c>
      <c r="K13" s="255"/>
      <c r="L13" s="255"/>
      <c r="M13" s="255"/>
      <c r="N13">
        <f t="shared" si="1"/>
        <v>0</v>
      </c>
      <c r="O13" s="255"/>
    </row>
    <row r="14" spans="1:15">
      <c r="A14" t="str">
        <f>IF(ABS(J14+E14)&gt;0,基础信息!$B$1,"")</f>
        <v/>
      </c>
      <c r="B14" s="255"/>
      <c r="C14" s="276"/>
      <c r="D14" s="255"/>
      <c r="E14" s="255"/>
      <c r="F14" s="255"/>
      <c r="G14" s="255"/>
      <c r="H14" s="255"/>
      <c r="I14" s="255"/>
      <c r="J14" s="229">
        <f t="shared" si="0"/>
        <v>0</v>
      </c>
      <c r="K14" s="255"/>
      <c r="L14" s="255"/>
      <c r="M14" s="255"/>
      <c r="N14">
        <f t="shared" si="1"/>
        <v>0</v>
      </c>
      <c r="O14" s="255"/>
    </row>
    <row r="15" spans="1:15">
      <c r="A15" t="str">
        <f>IF(ABS(J15+E15)&gt;0,基础信息!$B$1,"")</f>
        <v/>
      </c>
      <c r="B15" s="255"/>
      <c r="C15" s="276"/>
      <c r="D15" s="255"/>
      <c r="E15" s="255"/>
      <c r="F15" s="255"/>
      <c r="G15" s="255"/>
      <c r="H15" s="255"/>
      <c r="I15" s="255"/>
      <c r="J15" s="229">
        <f t="shared" si="0"/>
        <v>0</v>
      </c>
      <c r="K15" s="255"/>
      <c r="L15" s="255"/>
      <c r="M15" s="255"/>
      <c r="N15">
        <f t="shared" si="1"/>
        <v>0</v>
      </c>
      <c r="O15" s="255"/>
    </row>
    <row r="16" spans="1:15">
      <c r="A16" t="str">
        <f>IF(ABS(J16+E16)&gt;0,基础信息!$B$1,"")</f>
        <v/>
      </c>
      <c r="B16" s="255"/>
      <c r="C16" s="276"/>
      <c r="D16" s="255"/>
      <c r="E16" s="255"/>
      <c r="F16" s="255"/>
      <c r="G16" s="255"/>
      <c r="H16" s="255"/>
      <c r="I16" s="255"/>
      <c r="J16" s="229">
        <f t="shared" si="0"/>
        <v>0</v>
      </c>
      <c r="K16" s="255"/>
      <c r="L16" s="255"/>
      <c r="M16" s="255"/>
      <c r="N16">
        <f t="shared" si="1"/>
        <v>0</v>
      </c>
      <c r="O16" s="255"/>
    </row>
    <row r="17" spans="1:15">
      <c r="A17" t="str">
        <f>IF(ABS(J17+E17)&gt;0,基础信息!$B$1,"")</f>
        <v/>
      </c>
      <c r="B17" s="255"/>
      <c r="C17" s="276"/>
      <c r="D17" s="255"/>
      <c r="E17" s="255"/>
      <c r="F17" s="255"/>
      <c r="G17" s="255"/>
      <c r="H17" s="255"/>
      <c r="I17" s="255"/>
      <c r="J17" s="229">
        <f t="shared" si="0"/>
        <v>0</v>
      </c>
      <c r="K17" s="255"/>
      <c r="L17" s="255"/>
      <c r="M17" s="255"/>
      <c r="N17">
        <f t="shared" si="1"/>
        <v>0</v>
      </c>
      <c r="O17" s="255"/>
    </row>
    <row r="18" spans="1:15">
      <c r="A18" t="str">
        <f>IF(ABS(J18+E18)&gt;0,基础信息!$B$1,"")</f>
        <v/>
      </c>
      <c r="B18" s="255"/>
      <c r="C18" s="276"/>
      <c r="D18" s="255"/>
      <c r="E18" s="255"/>
      <c r="F18" s="255"/>
      <c r="G18" s="255"/>
      <c r="H18" s="255"/>
      <c r="I18" s="255"/>
      <c r="J18" s="229">
        <f t="shared" si="0"/>
        <v>0</v>
      </c>
      <c r="K18" s="255"/>
      <c r="L18" s="255"/>
      <c r="M18" s="255"/>
      <c r="N18">
        <f t="shared" si="1"/>
        <v>0</v>
      </c>
      <c r="O18" s="255"/>
    </row>
    <row r="19" spans="1:15">
      <c r="A19" t="str">
        <f>IF(ABS(J19+E19)&gt;0,基础信息!$B$1,"")</f>
        <v/>
      </c>
      <c r="B19" s="255"/>
      <c r="C19" s="276"/>
      <c r="D19" s="255"/>
      <c r="E19" s="255"/>
      <c r="F19" s="255"/>
      <c r="G19" s="255"/>
      <c r="H19" s="255"/>
      <c r="I19" s="255"/>
      <c r="J19" s="229">
        <f t="shared" si="0"/>
        <v>0</v>
      </c>
      <c r="K19" s="255"/>
      <c r="L19" s="255"/>
      <c r="M19" s="255"/>
      <c r="N19">
        <f t="shared" si="1"/>
        <v>0</v>
      </c>
      <c r="O19" s="255"/>
    </row>
    <row r="20" spans="1:15">
      <c r="A20" t="str">
        <f>IF(ABS(J20+E20)&gt;0,基础信息!$B$1,"")</f>
        <v/>
      </c>
      <c r="B20" s="255"/>
      <c r="C20" s="276"/>
      <c r="D20" s="255"/>
      <c r="E20" s="255"/>
      <c r="F20" s="255"/>
      <c r="G20" s="255"/>
      <c r="H20" s="255"/>
      <c r="I20" s="255"/>
      <c r="J20" s="229">
        <f t="shared" si="0"/>
        <v>0</v>
      </c>
      <c r="K20" s="255"/>
      <c r="L20" s="255"/>
      <c r="M20" s="255"/>
      <c r="N20">
        <f t="shared" si="1"/>
        <v>0</v>
      </c>
      <c r="O20" s="255"/>
    </row>
    <row r="21" spans="1:15">
      <c r="A21" t="str">
        <f>IF(ABS(J21+E21)&gt;0,基础信息!$B$1,"")</f>
        <v/>
      </c>
      <c r="B21" s="255"/>
      <c r="C21" s="276"/>
      <c r="D21" s="255"/>
      <c r="E21" s="255"/>
      <c r="F21" s="255"/>
      <c r="G21" s="255"/>
      <c r="H21" s="255"/>
      <c r="I21" s="255"/>
      <c r="J21" s="229">
        <f t="shared" si="0"/>
        <v>0</v>
      </c>
      <c r="K21" s="255"/>
      <c r="L21" s="255"/>
      <c r="M21" s="255"/>
      <c r="N21">
        <f t="shared" si="1"/>
        <v>0</v>
      </c>
      <c r="O21" s="255"/>
    </row>
    <row r="22" spans="1:15">
      <c r="A22" t="str">
        <f>IF(ABS(J22+E22)&gt;0,基础信息!$B$1,"")</f>
        <v/>
      </c>
      <c r="B22" s="255"/>
      <c r="C22" s="276"/>
      <c r="D22" s="255"/>
      <c r="E22" s="255"/>
      <c r="F22" s="255"/>
      <c r="G22" s="255"/>
      <c r="H22" s="255"/>
      <c r="I22" s="255"/>
      <c r="J22" s="229">
        <f t="shared" si="0"/>
        <v>0</v>
      </c>
      <c r="K22" s="255"/>
      <c r="L22" s="255"/>
      <c r="M22" s="255"/>
      <c r="N22">
        <f t="shared" si="1"/>
        <v>0</v>
      </c>
      <c r="O22" s="255"/>
    </row>
    <row r="23" spans="1:15">
      <c r="A23" t="str">
        <f>IF(ABS(J23+E23)&gt;0,基础信息!$B$1,"")</f>
        <v/>
      </c>
      <c r="B23" s="255"/>
      <c r="C23" s="276"/>
      <c r="D23" s="255"/>
      <c r="E23" s="255"/>
      <c r="F23" s="255"/>
      <c r="G23" s="255"/>
      <c r="H23" s="255"/>
      <c r="I23" s="255"/>
      <c r="J23" s="229">
        <f t="shared" si="0"/>
        <v>0</v>
      </c>
      <c r="K23" s="255"/>
      <c r="L23" s="255"/>
      <c r="M23" s="255"/>
      <c r="O23" s="255"/>
    </row>
    <row r="24" spans="1:15">
      <c r="A24" t="str">
        <f>IF(ABS(J24+E24)&gt;0,基础信息!$B$1,"")</f>
        <v/>
      </c>
      <c r="B24" s="255"/>
      <c r="C24" s="276"/>
    </row>
    <row r="25" spans="1:15">
      <c r="B25" s="255"/>
      <c r="C25" s="276"/>
    </row>
    <row r="26" spans="1:15">
      <c r="B26" s="255"/>
      <c r="C26" s="276"/>
    </row>
    <row r="27" spans="1:15">
      <c r="B27" s="255"/>
      <c r="C27"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AB52879-41C2-41D0-9F6C-21442B1A6A06}">
          <x14:formula1>
            <xm:f>交易性金融资产!$A$2:$A$9</xm:f>
          </x14:formula1>
          <xm:sqref>C28:C103</xm:sqref>
        </x14:dataValidation>
        <x14:dataValidation type="list" allowBlank="1" showInputMessage="1" showErrorMessage="1" xr:uid="{EE281A78-8215-44F2-8837-8680B621E8E3}">
          <x14:formula1>
            <xm:f>分类表!$87:$87</xm:f>
          </x14:formula1>
          <xm:sqref>C2:C27</xm:sqref>
        </x14:dataValidation>
      </x14:dataValidations>
    </ext>
  </extLst>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codeName="Sheet195">
    <tabColor rgb="FFFFC000"/>
  </sheetPr>
  <dimension ref="A1:D34"/>
  <sheetViews>
    <sheetView workbookViewId="0">
      <pane xSplit="1" ySplit="1" topLeftCell="B5" activePane="bottomRight" state="frozen"/>
      <selection activeCell="D22" sqref="D22"/>
      <selection pane="topRight" activeCell="D22" sqref="D22"/>
      <selection pane="bottomLeft" activeCell="D22" sqref="D22"/>
      <selection pane="bottomRight" activeCell="F18" sqref="F18"/>
    </sheetView>
  </sheetViews>
  <sheetFormatPr defaultRowHeight="13.8"/>
  <cols>
    <col min="1" max="1" width="24.88671875" style="150" bestFit="1" customWidth="1"/>
    <col min="2" max="3" width="11.6640625" style="150" bestFit="1" customWidth="1"/>
    <col min="4" max="4" width="9.44140625" style="150" bestFit="1" customWidth="1"/>
    <col min="5" max="5" width="28.77734375" style="150" bestFit="1" customWidth="1"/>
    <col min="6" max="16384" width="8.88671875" style="150"/>
  </cols>
  <sheetData>
    <row r="1" spans="1:4" ht="14.4">
      <c r="A1" s="523" t="s">
        <v>28</v>
      </c>
      <c r="B1" s="528" t="s">
        <v>3072</v>
      </c>
      <c r="C1" s="528" t="s">
        <v>422</v>
      </c>
      <c r="D1" s="523" t="s">
        <v>204</v>
      </c>
    </row>
    <row r="2" spans="1:4" ht="14.4">
      <c r="A2" s="524" t="s">
        <v>424</v>
      </c>
      <c r="B2" s="525"/>
      <c r="C2" s="525"/>
      <c r="D2" s="525"/>
    </row>
    <row r="3" spans="1:4" ht="14.4">
      <c r="A3" s="526" t="s">
        <v>3077</v>
      </c>
      <c r="B3" s="289">
        <f>ROUND(SUMIF(成本法核算投资性房地产明细表!$H:$H,B$1&amp;"原值期初数",成本法核算投资性房地产明细表!$F:$F),2)</f>
        <v>0</v>
      </c>
      <c r="C3" s="289">
        <f>ROUND(SUMIF(成本法核算投资性房地产明细表!$H:$H,C$1&amp;"原值期初数",成本法核算投资性房地产明细表!$F:$F),2)</f>
        <v>0</v>
      </c>
      <c r="D3" s="289">
        <f t="shared" ref="D3:D12" si="0">ROUND(SUM(B3:C3),2)</f>
        <v>0</v>
      </c>
    </row>
    <row r="4" spans="1:4" ht="14.4">
      <c r="A4" s="526" t="s">
        <v>425</v>
      </c>
      <c r="B4" s="289">
        <f>ROUND(SUM(B5:B8),2)</f>
        <v>0</v>
      </c>
      <c r="C4" s="289">
        <f>ROUND(SUM(C5:C8),2)</f>
        <v>0</v>
      </c>
      <c r="D4" s="289">
        <f t="shared" si="0"/>
        <v>0</v>
      </c>
    </row>
    <row r="5" spans="1:4" ht="14.4">
      <c r="A5" s="527" t="s">
        <v>3759</v>
      </c>
      <c r="B5" s="289">
        <f>ROUND(SUMIF(成本法核算投资性房地产明细表!$H:$H,B$1&amp;"原值本期增加"&amp;REPLACE($A5,1,3,""),成本法核算投资性房地产明细表!$F:$F),2)</f>
        <v>0</v>
      </c>
      <c r="C5" s="289">
        <f>ROUND(SUMIF(成本法核算投资性房地产明细表!$H:$H,C$1&amp;"原值本期增加"&amp;REPLACE($A5,1,3,""),成本法核算投资性房地产明细表!$F:$F),2)</f>
        <v>0</v>
      </c>
      <c r="D5" s="289">
        <f t="shared" si="0"/>
        <v>0</v>
      </c>
    </row>
    <row r="6" spans="1:4" ht="14.4">
      <c r="A6" s="527" t="s">
        <v>3760</v>
      </c>
      <c r="B6" s="289">
        <f>ROUND(SUMIF(成本法核算投资性房地产明细表!$H:$H,B$1&amp;"原值本期增加"&amp;REPLACE($A6,1,3,""),成本法核算投资性房地产明细表!$F:$F),2)</f>
        <v>0</v>
      </c>
      <c r="C6" s="289">
        <f>ROUND(SUMIF(成本法核算投资性房地产明细表!$H:$H,C$1&amp;"原值本期增加"&amp;REPLACE($A6,1,3,""),成本法核算投资性房地产明细表!$F:$F),2)</f>
        <v>0</v>
      </c>
      <c r="D6" s="289">
        <f t="shared" si="0"/>
        <v>0</v>
      </c>
    </row>
    <row r="7" spans="1:4" ht="14.4">
      <c r="A7" s="527" t="s">
        <v>3761</v>
      </c>
      <c r="B7" s="289">
        <f>ROUND(SUMIF(成本法核算投资性房地产明细表!$H:$H,B$1&amp;"原值本期增加"&amp;REPLACE($A7,1,3,""),成本法核算投资性房地产明细表!$F:$F),2)</f>
        <v>0</v>
      </c>
      <c r="C7" s="289">
        <f>ROUND(SUMIF(成本法核算投资性房地产明细表!$H:$H,C$1&amp;"原值本期增加"&amp;REPLACE($A7,1,3,""),成本法核算投资性房地产明细表!$F:$F),2)</f>
        <v>0</v>
      </c>
      <c r="D7" s="289">
        <f t="shared" si="0"/>
        <v>0</v>
      </c>
    </row>
    <row r="8" spans="1:4" ht="14.4">
      <c r="A8" s="527" t="s">
        <v>3762</v>
      </c>
      <c r="B8" s="289">
        <f>ROUND(SUMIF(成本法核算投资性房地产明细表!$H:$H,B$1&amp;"原值本期增加"&amp;REPLACE($A8,1,3,""),成本法核算投资性房地产明细表!$F:$F),2)</f>
        <v>0</v>
      </c>
      <c r="C8" s="289">
        <f>ROUND(SUMIF(成本法核算投资性房地产明细表!$H:$H,C$1&amp;"原值本期增加"&amp;REPLACE($A8,1,3,""),成本法核算投资性房地产明细表!$F:$F),2)</f>
        <v>0</v>
      </c>
      <c r="D8" s="289">
        <f t="shared" si="0"/>
        <v>0</v>
      </c>
    </row>
    <row r="9" spans="1:4" ht="14.4">
      <c r="A9" s="526" t="s">
        <v>426</v>
      </c>
      <c r="B9" s="289">
        <f>ROUND(SUM(B10:B11),2)</f>
        <v>0</v>
      </c>
      <c r="C9" s="289">
        <f>ROUND(SUM(C10:C11),2)</f>
        <v>0</v>
      </c>
      <c r="D9" s="289">
        <f t="shared" si="0"/>
        <v>0</v>
      </c>
    </row>
    <row r="10" spans="1:4" ht="14.4">
      <c r="A10" s="527" t="s">
        <v>3763</v>
      </c>
      <c r="B10" s="289">
        <f>ROUND(SUMIF(成本法核算投资性房地产明细表!$H:$H,B$1&amp;"原值本期减少"&amp;REPLACE($A10,1,3,""),成本法核算投资性房地产明细表!$F:$F),2)</f>
        <v>0</v>
      </c>
      <c r="C10" s="289">
        <f>ROUND(SUMIF(成本法核算投资性房地产明细表!$H:$H,C$1&amp;"原值本期减少"&amp;REPLACE($A10,1,3,""),成本法核算投资性房地产明细表!$F:$F),2)</f>
        <v>0</v>
      </c>
      <c r="D10" s="289">
        <f t="shared" si="0"/>
        <v>0</v>
      </c>
    </row>
    <row r="11" spans="1:4" ht="14.4">
      <c r="A11" s="527" t="s">
        <v>3762</v>
      </c>
      <c r="B11" s="289">
        <f>ROUND(SUMIF(成本法核算投资性房地产明细表!$H:$H,B$1&amp;"原值本期减少"&amp;REPLACE($A11,1,3,""),成本法核算投资性房地产明细表!$F:$F),2)</f>
        <v>0</v>
      </c>
      <c r="C11" s="289">
        <f>ROUND(SUMIF(成本法核算投资性房地产明细表!$H:$H,C$1&amp;"原值本期减少"&amp;REPLACE($A11,1,3,""),成本法核算投资性房地产明细表!$F:$F),2)</f>
        <v>0</v>
      </c>
      <c r="D11" s="289">
        <f t="shared" si="0"/>
        <v>0</v>
      </c>
    </row>
    <row r="12" spans="1:4" ht="14.4">
      <c r="A12" s="526" t="s">
        <v>427</v>
      </c>
      <c r="B12" s="289">
        <f>ROUND(B3+B4-B9,2)</f>
        <v>0</v>
      </c>
      <c r="C12" s="289">
        <f>ROUND(C3+C4-C9,2)</f>
        <v>0</v>
      </c>
      <c r="D12" s="289">
        <f t="shared" si="0"/>
        <v>0</v>
      </c>
    </row>
    <row r="13" spans="1:4" ht="14.4">
      <c r="A13" s="524" t="s">
        <v>428</v>
      </c>
      <c r="B13" s="289"/>
      <c r="C13" s="289"/>
      <c r="D13" s="289"/>
    </row>
    <row r="14" spans="1:4" ht="14.4">
      <c r="A14" s="526" t="s">
        <v>3077</v>
      </c>
      <c r="B14" s="289">
        <f>ROUND(SUMIF(成本法核算投资性房地产明细表!$H:$H,B$1&amp;"累计折旧期初数",成本法核算投资性房地产明细表!$F:$F),2)</f>
        <v>0</v>
      </c>
      <c r="C14" s="289">
        <f>ROUND(SUMIF(成本法核算投资性房地产明细表!$H:$H,C$1&amp;"累计折旧期初数",成本法核算投资性房地产明细表!$F:$F),2)</f>
        <v>0</v>
      </c>
      <c r="D14" s="289">
        <f t="shared" ref="D14:D21" si="1">ROUND(SUM(B14:C14),2)</f>
        <v>0</v>
      </c>
    </row>
    <row r="15" spans="1:4" ht="14.4">
      <c r="A15" s="526" t="s">
        <v>425</v>
      </c>
      <c r="B15" s="289">
        <f>ROUND(SUM(B16:B17),2)</f>
        <v>0</v>
      </c>
      <c r="C15" s="289">
        <f>ROUND(SUM(C16:C17),2)</f>
        <v>0</v>
      </c>
      <c r="D15" s="289">
        <f t="shared" si="1"/>
        <v>0</v>
      </c>
    </row>
    <row r="16" spans="1:4" ht="14.4">
      <c r="A16" s="527" t="s">
        <v>3764</v>
      </c>
      <c r="B16" s="289">
        <f>ROUND(SUMIF(成本法核算投资性房地产明细表!$H:$H,B$1&amp;"累计折旧本期增加"&amp;REPLACE($A16,1,3,""),成本法核算投资性房地产明细表!$F:$F),2)</f>
        <v>0</v>
      </c>
      <c r="C16" s="289">
        <f>ROUND(SUMIF(成本法核算投资性房地产明细表!$H:$H,C$1&amp;"累计折旧本期增加"&amp;REPLACE($A16,1,3,""),成本法核算投资性房地产明细表!$F:$F),2)</f>
        <v>0</v>
      </c>
      <c r="D16" s="289">
        <f t="shared" si="1"/>
        <v>0</v>
      </c>
    </row>
    <row r="17" spans="1:4" ht="14.4">
      <c r="A17" s="527" t="s">
        <v>3765</v>
      </c>
      <c r="B17" s="289">
        <f>ROUND(SUMIF(成本法核算投资性房地产明细表!$H:$H,B$1&amp;"累计折旧本期增加"&amp;REPLACE($A17,1,3,""),成本法核算投资性房地产明细表!$F:$F),2)</f>
        <v>0</v>
      </c>
      <c r="C17" s="289">
        <f>ROUND(SUMIF(成本法核算投资性房地产明细表!$H:$H,C$1&amp;"累计折旧本期增加"&amp;REPLACE($A17,1,3,""),成本法核算投资性房地产明细表!$F:$F),2)</f>
        <v>0</v>
      </c>
      <c r="D17" s="289">
        <f t="shared" si="1"/>
        <v>0</v>
      </c>
    </row>
    <row r="18" spans="1:4" ht="14.4">
      <c r="A18" s="526" t="s">
        <v>426</v>
      </c>
      <c r="B18" s="289">
        <f>ROUND(SUM(B19:B20),2)</f>
        <v>0</v>
      </c>
      <c r="C18" s="289">
        <f>ROUND(SUM(C19:C20),2)</f>
        <v>0</v>
      </c>
      <c r="D18" s="289">
        <f t="shared" si="1"/>
        <v>0</v>
      </c>
    </row>
    <row r="19" spans="1:4" ht="14.4">
      <c r="A19" s="527" t="s">
        <v>3763</v>
      </c>
      <c r="B19" s="289">
        <f>ROUND(SUMIF(成本法核算投资性房地产明细表!$H:$H,B$1&amp;"累计折旧本期减少"&amp;REPLACE($A19,1,3,""),成本法核算投资性房地产明细表!$F:$F),2)</f>
        <v>0</v>
      </c>
      <c r="C19" s="289">
        <f>ROUND(SUMIF(成本法核算投资性房地产明细表!$H:$H,C$1&amp;"累计折旧本期减少"&amp;REPLACE($A19,1,3,""),成本法核算投资性房地产明细表!$F:$F),2)</f>
        <v>0</v>
      </c>
      <c r="D19" s="289">
        <f t="shared" si="1"/>
        <v>0</v>
      </c>
    </row>
    <row r="20" spans="1:4" ht="14.4">
      <c r="A20" s="527" t="s">
        <v>3766</v>
      </c>
      <c r="B20" s="289">
        <f>ROUND(SUMIF(成本法核算投资性房地产明细表!$H:$H,B$1&amp;"累计折旧本期减少"&amp;REPLACE($A20,1,3,""),成本法核算投资性房地产明细表!$F:$F),2)</f>
        <v>0</v>
      </c>
      <c r="C20" s="289">
        <f>ROUND(SUMIF(成本法核算投资性房地产明细表!$H:$H,C$1&amp;"累计折旧本期减少"&amp;REPLACE($A20,1,3,""),成本法核算投资性房地产明细表!$F:$F),2)</f>
        <v>0</v>
      </c>
      <c r="D20" s="289">
        <f t="shared" si="1"/>
        <v>0</v>
      </c>
    </row>
    <row r="21" spans="1:4" ht="14.4">
      <c r="A21" s="526" t="s">
        <v>427</v>
      </c>
      <c r="B21" s="289">
        <f>ROUND(B14+B15-B18,2)</f>
        <v>0</v>
      </c>
      <c r="C21" s="289">
        <f>ROUND(C14+C15-C18,2)</f>
        <v>0</v>
      </c>
      <c r="D21" s="289">
        <f t="shared" si="1"/>
        <v>0</v>
      </c>
    </row>
    <row r="22" spans="1:4" ht="14.4">
      <c r="A22" s="524" t="s">
        <v>429</v>
      </c>
      <c r="B22" s="289"/>
      <c r="C22" s="289"/>
      <c r="D22" s="289"/>
    </row>
    <row r="23" spans="1:4" ht="14.4">
      <c r="A23" s="526" t="s">
        <v>3077</v>
      </c>
      <c r="B23" s="289">
        <f>ROUND(SUMIF(成本法核算投资性房地产明细表!H:H,B$1&amp;"减值准备期初数",成本法核算投资性房地产明细表!F:F),2)</f>
        <v>0</v>
      </c>
      <c r="C23" s="289">
        <f>ROUND(SUMIF(成本法核算投资性房地产明细表!I:I,C$1&amp;"减值准备期初数",成本法核算投资性房地产明细表!G:G),2)</f>
        <v>0</v>
      </c>
      <c r="D23" s="289">
        <f t="shared" ref="D23:D30" si="2">ROUND(SUM(B23:C23),2)</f>
        <v>0</v>
      </c>
    </row>
    <row r="24" spans="1:4" ht="14.4">
      <c r="A24" s="526" t="s">
        <v>425</v>
      </c>
      <c r="B24" s="289">
        <f>ROUND(SUM(B25:B26),2)</f>
        <v>0</v>
      </c>
      <c r="C24" s="289">
        <f>ROUND(SUM(C25:C26),2)</f>
        <v>0</v>
      </c>
      <c r="D24" s="289">
        <f t="shared" si="2"/>
        <v>0</v>
      </c>
    </row>
    <row r="25" spans="1:4" ht="14.4">
      <c r="A25" s="527" t="s">
        <v>3767</v>
      </c>
      <c r="B25" s="289">
        <f>ROUND(SUMIF(成本法核算投资性房地产明细表!$H:$H,B$1&amp;"减值准备本期增加"&amp;REPLACE($A25,1,3,""),成本法核算投资性房地产明细表!$F:$F),2)</f>
        <v>0</v>
      </c>
      <c r="C25" s="289">
        <f>ROUND(SUMIF(成本法核算投资性房地产明细表!$H:$H,C$1&amp;"减值准备本期增加"&amp;REPLACE($A25,1,3,""),成本法核算投资性房地产明细表!$F:$F),2)</f>
        <v>0</v>
      </c>
      <c r="D25" s="289">
        <f t="shared" si="2"/>
        <v>0</v>
      </c>
    </row>
    <row r="26" spans="1:4" ht="14.4">
      <c r="A26" s="527" t="s">
        <v>3762</v>
      </c>
      <c r="B26" s="289">
        <f>ROUND(SUMIF(成本法核算投资性房地产明细表!$H:$H,B$1&amp;"减值准备本期增加"&amp;REPLACE($A26,1,3,""),成本法核算投资性房地产明细表!$F:$F),2)</f>
        <v>0</v>
      </c>
      <c r="C26" s="289">
        <f>ROUND(SUMIF(成本法核算投资性房地产明细表!$H:$H,C$1&amp;"减值准备本期增加"&amp;REPLACE($A26,1,3,""),成本法核算投资性房地产明细表!$F:$F),2)</f>
        <v>0</v>
      </c>
      <c r="D26" s="289">
        <f t="shared" si="2"/>
        <v>0</v>
      </c>
    </row>
    <row r="27" spans="1:4" ht="14.4">
      <c r="A27" s="526" t="s">
        <v>426</v>
      </c>
      <c r="B27" s="289">
        <f>ROUND(SUM(B28:B29),2)</f>
        <v>0</v>
      </c>
      <c r="C27" s="289">
        <f>ROUND(SUM(C28:C29),2)</f>
        <v>0</v>
      </c>
      <c r="D27" s="289">
        <f t="shared" si="2"/>
        <v>0</v>
      </c>
    </row>
    <row r="28" spans="1:4" ht="14.4">
      <c r="A28" s="527" t="s">
        <v>3763</v>
      </c>
      <c r="B28" s="289">
        <f>ROUND(SUMIF(成本法核算投资性房地产明细表!$H:$H,B$1&amp;"减值准备本期减少"&amp;REPLACE($A28,1,3,""),成本法核算投资性房地产明细表!$F:$F),2)</f>
        <v>0</v>
      </c>
      <c r="C28" s="289">
        <f>ROUND(SUMIF(成本法核算投资性房地产明细表!$H:$H,C$1&amp;"减值准备本期减少"&amp;REPLACE($A28,1,3,""),成本法核算投资性房地产明细表!$F:$F),2)</f>
        <v>0</v>
      </c>
      <c r="D28" s="289">
        <f t="shared" si="2"/>
        <v>0</v>
      </c>
    </row>
    <row r="29" spans="1:4" ht="14.4">
      <c r="A29" s="527" t="s">
        <v>3766</v>
      </c>
      <c r="B29" s="289">
        <f>ROUND(SUMIF(成本法核算投资性房地产明细表!$H:$H,B$1&amp;"减值准备本期减少"&amp;REPLACE($A29,1,3,""),成本法核算投资性房地产明细表!$F:$F),2)</f>
        <v>0</v>
      </c>
      <c r="C29" s="289">
        <f>ROUND(SUMIF(成本法核算投资性房地产明细表!$H:$H,C$1&amp;"减值准备本期减少"&amp;REPLACE($A29,1,3,""),成本法核算投资性房地产明细表!$F:$F),2)</f>
        <v>0</v>
      </c>
      <c r="D29" s="289">
        <f t="shared" si="2"/>
        <v>0</v>
      </c>
    </row>
    <row r="30" spans="1:4" ht="14.4">
      <c r="A30" s="526" t="s">
        <v>427</v>
      </c>
      <c r="B30" s="289">
        <f>ROUND(B23+B24-B27,2)</f>
        <v>0</v>
      </c>
      <c r="C30" s="289">
        <f>ROUND(C23+C24-C27,2)</f>
        <v>0</v>
      </c>
      <c r="D30" s="289">
        <f t="shared" si="2"/>
        <v>0</v>
      </c>
    </row>
    <row r="31" spans="1:4" ht="14.4">
      <c r="A31" s="524" t="s">
        <v>430</v>
      </c>
      <c r="B31" s="289"/>
      <c r="C31" s="289"/>
      <c r="D31" s="289"/>
    </row>
    <row r="32" spans="1:4" ht="14.4">
      <c r="A32" s="526" t="s">
        <v>431</v>
      </c>
      <c r="B32" s="289">
        <f>ROUND(B12-B21-B30,2)</f>
        <v>0</v>
      </c>
      <c r="C32" s="289">
        <f>ROUND(C12-C21-C30,2)</f>
        <v>0</v>
      </c>
      <c r="D32" s="289">
        <f>ROUND(SUM(B32:C32),2)</f>
        <v>0</v>
      </c>
    </row>
    <row r="33" spans="1:4" ht="14.4">
      <c r="A33" s="526" t="s">
        <v>3078</v>
      </c>
      <c r="B33" s="289">
        <f>ROUND(B3-B14-B23,2)</f>
        <v>0</v>
      </c>
      <c r="C33" s="289">
        <f>ROUND(C3-C14-C23,2)</f>
        <v>0</v>
      </c>
      <c r="D33" s="289">
        <f>ROUND(SUM(B33:C33),2)</f>
        <v>0</v>
      </c>
    </row>
    <row r="34" spans="1:4" ht="14.4">
      <c r="A34" s="294"/>
      <c r="B34" s="298"/>
      <c r="C34" s="298"/>
      <c r="D34" s="29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分类表!$22:$22</xm:f>
          </x14:formula1>
          <xm:sqref>B1:C1</xm:sqref>
        </x14:dataValidation>
      </x14:dataValidation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sheetPr codeName="Sheet196"/>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A5" sqref="A5"/>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1976</v>
      </c>
      <c r="B1" s="311" t="s">
        <v>1977</v>
      </c>
      <c r="C1" s="261" t="s">
        <v>2443</v>
      </c>
      <c r="D1" s="261" t="s">
        <v>2475</v>
      </c>
      <c r="E1" s="261" t="s">
        <v>2476</v>
      </c>
      <c r="F1" s="261" t="s">
        <v>2478</v>
      </c>
      <c r="G1" s="261" t="s">
        <v>2480</v>
      </c>
      <c r="H1" s="263" t="s">
        <v>2481</v>
      </c>
      <c r="I1" s="261" t="s">
        <v>3385</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E44" s="276"/>
      <c r="G44" t="str">
        <f t="shared" si="0"/>
        <v/>
      </c>
      <c r="I44" t="str">
        <f t="shared" si="2"/>
        <v/>
      </c>
    </row>
    <row r="45" spans="1:9">
      <c r="A45" s="229" t="str">
        <f>IF(F45&gt;0,基础信息!$B$1,"")</f>
        <v/>
      </c>
      <c r="E45" s="276"/>
      <c r="G45" t="str">
        <f t="shared" si="0"/>
        <v/>
      </c>
      <c r="I45" t="str">
        <f t="shared" si="2"/>
        <v/>
      </c>
    </row>
    <row r="46" spans="1:9">
      <c r="A46" s="229" t="str">
        <f>IF(F46&gt;0,基础信息!$B$1,"")</f>
        <v/>
      </c>
      <c r="E46" s="276"/>
      <c r="G46" t="str">
        <f t="shared" si="0"/>
        <v/>
      </c>
      <c r="I46" t="str">
        <f t="shared" si="2"/>
        <v/>
      </c>
    </row>
    <row r="47" spans="1:9">
      <c r="A47" s="229" t="str">
        <f>IF(F47&gt;0,基础信息!$B$1,"")</f>
        <v/>
      </c>
      <c r="E47" s="276"/>
      <c r="G47" t="str">
        <f t="shared" si="0"/>
        <v/>
      </c>
      <c r="I47" t="str">
        <f t="shared" si="2"/>
        <v/>
      </c>
    </row>
    <row r="48" spans="1:9">
      <c r="A48" s="229" t="str">
        <f>IF(F48&gt;0,基础信息!$B$1,"")</f>
        <v/>
      </c>
      <c r="E48" s="276"/>
      <c r="G48" t="str">
        <f t="shared" si="0"/>
        <v/>
      </c>
      <c r="I48" t="str">
        <f t="shared" si="2"/>
        <v/>
      </c>
    </row>
    <row r="49" spans="1:9">
      <c r="A49" s="229" t="str">
        <f>IF(F49&gt;0,基础信息!$B$1,"")</f>
        <v/>
      </c>
      <c r="E49" s="276"/>
      <c r="G49" t="str">
        <f t="shared" si="0"/>
        <v/>
      </c>
      <c r="I49" t="str">
        <f t="shared" si="2"/>
        <v/>
      </c>
    </row>
    <row r="50" spans="1:9">
      <c r="A50" s="229" t="str">
        <f>IF(F50&gt;0,基础信息!$B$1,"")</f>
        <v/>
      </c>
      <c r="E50" s="276"/>
      <c r="G50" t="str">
        <f t="shared" si="0"/>
        <v/>
      </c>
      <c r="I50" t="str">
        <f t="shared" si="2"/>
        <v/>
      </c>
    </row>
    <row r="51" spans="1:9">
      <c r="A51" s="229" t="str">
        <f>IF(F51&gt;0,基础信息!$B$1,"")</f>
        <v/>
      </c>
      <c r="E51" s="276"/>
      <c r="G51" t="str">
        <f t="shared" si="0"/>
        <v/>
      </c>
      <c r="I51" t="str">
        <f t="shared" si="2"/>
        <v/>
      </c>
    </row>
    <row r="52" spans="1:9">
      <c r="A52" s="229" t="str">
        <f>IF(F52&gt;0,基础信息!$B$1,"")</f>
        <v/>
      </c>
      <c r="E52" s="276"/>
      <c r="G52" t="str">
        <f t="shared" si="0"/>
        <v/>
      </c>
      <c r="I52" t="str">
        <f t="shared" si="2"/>
        <v/>
      </c>
    </row>
    <row r="53" spans="1:9">
      <c r="A53" s="229" t="str">
        <f>IF(F53&gt;0,基础信息!$B$1,"")</f>
        <v/>
      </c>
      <c r="E53" s="276"/>
      <c r="G53" t="str">
        <f t="shared" si="0"/>
        <v/>
      </c>
      <c r="I53" t="str">
        <f t="shared" si="2"/>
        <v/>
      </c>
    </row>
    <row r="54" spans="1:9">
      <c r="A54" s="229" t="str">
        <f>IF(F54&gt;0,基础信息!$B$1,"")</f>
        <v/>
      </c>
      <c r="E54" s="276"/>
      <c r="G54" t="str">
        <f t="shared" si="0"/>
        <v/>
      </c>
      <c r="I54" t="str">
        <f t="shared" si="2"/>
        <v/>
      </c>
    </row>
    <row r="55" spans="1:9">
      <c r="A55" s="229" t="str">
        <f>IF(F55&gt;0,基础信息!$B$1,"")</f>
        <v/>
      </c>
      <c r="E55" s="276"/>
      <c r="G55" t="str">
        <f t="shared" si="0"/>
        <v/>
      </c>
      <c r="I55" t="str">
        <f t="shared" si="2"/>
        <v/>
      </c>
    </row>
    <row r="56" spans="1:9">
      <c r="A56" s="229" t="str">
        <f>IF(F56&gt;0,基础信息!$B$1,"")</f>
        <v/>
      </c>
      <c r="E56" s="276"/>
      <c r="G56" t="str">
        <f t="shared" si="0"/>
        <v/>
      </c>
      <c r="I56" t="str">
        <f t="shared" si="2"/>
        <v/>
      </c>
    </row>
    <row r="57" spans="1:9">
      <c r="A57" s="229" t="str">
        <f>IF(F57&gt;0,基础信息!$B$1,"")</f>
        <v/>
      </c>
      <c r="E57" s="276"/>
      <c r="G57" t="str">
        <f t="shared" si="0"/>
        <v/>
      </c>
      <c r="I57" t="str">
        <f t="shared" si="2"/>
        <v/>
      </c>
    </row>
    <row r="58" spans="1:9">
      <c r="A58" s="229" t="str">
        <f>IF(F58&gt;0,基础信息!$B$1,"")</f>
        <v/>
      </c>
      <c r="E58" s="276"/>
      <c r="G58" t="str">
        <f t="shared" si="0"/>
        <v/>
      </c>
      <c r="I58" t="str">
        <f t="shared" si="2"/>
        <v/>
      </c>
    </row>
    <row r="59" spans="1:9">
      <c r="A59" s="229" t="str">
        <f>IF(F59&gt;0,基础信息!$B$1,"")</f>
        <v/>
      </c>
      <c r="E59" s="276"/>
      <c r="G59" t="str">
        <f t="shared" si="0"/>
        <v/>
      </c>
      <c r="I59" t="str">
        <f t="shared" si="2"/>
        <v/>
      </c>
    </row>
    <row r="60" spans="1:9">
      <c r="A60" s="229" t="str">
        <f>IF(F60&gt;0,基础信息!$B$1,"")</f>
        <v/>
      </c>
      <c r="E60" s="276"/>
      <c r="G60" t="str">
        <f t="shared" si="0"/>
        <v/>
      </c>
      <c r="I60" t="str">
        <f t="shared" si="2"/>
        <v/>
      </c>
    </row>
    <row r="61" spans="1:9">
      <c r="A61" s="229" t="str">
        <f>IF(F61&gt;0,基础信息!$B$1,"")</f>
        <v/>
      </c>
      <c r="E61" s="276"/>
      <c r="G61" t="str">
        <f t="shared" si="0"/>
        <v/>
      </c>
      <c r="I61" t="str">
        <f t="shared" si="2"/>
        <v/>
      </c>
    </row>
    <row r="62" spans="1:9">
      <c r="A62" s="229" t="str">
        <f>IF(F62&gt;0,基础信息!$B$1,"")</f>
        <v/>
      </c>
      <c r="E62" s="276"/>
      <c r="G62" t="str">
        <f t="shared" si="0"/>
        <v/>
      </c>
      <c r="I62" t="str">
        <f t="shared" si="2"/>
        <v/>
      </c>
    </row>
    <row r="63" spans="1:9">
      <c r="A63" s="229" t="str">
        <f>IF(F63&gt;0,基础信息!$B$1,"")</f>
        <v/>
      </c>
      <c r="E63" s="276"/>
      <c r="G63" t="str">
        <f t="shared" si="0"/>
        <v/>
      </c>
      <c r="I63" t="str">
        <f t="shared" si="2"/>
        <v/>
      </c>
    </row>
    <row r="64" spans="1:9">
      <c r="A64" s="229" t="str">
        <f>IF(F64&gt;0,基础信息!$B$1,"")</f>
        <v/>
      </c>
      <c r="E64" s="276"/>
      <c r="G64" t="str">
        <f t="shared" si="0"/>
        <v/>
      </c>
      <c r="I64" t="str">
        <f t="shared" si="2"/>
        <v/>
      </c>
    </row>
    <row r="65" spans="1:9">
      <c r="A65" s="229" t="str">
        <f>IF(F65&gt;0,基础信息!$B$1,"")</f>
        <v/>
      </c>
      <c r="E65" s="276"/>
      <c r="G65" t="str">
        <f t="shared" si="0"/>
        <v/>
      </c>
      <c r="I65" t="str">
        <f t="shared" si="2"/>
        <v/>
      </c>
    </row>
    <row r="66" spans="1:9">
      <c r="A66" s="229" t="str">
        <f>IF(F66&gt;0,基础信息!$B$1,"")</f>
        <v/>
      </c>
      <c r="E66" s="276"/>
      <c r="G66" t="str">
        <f t="shared" si="0"/>
        <v/>
      </c>
      <c r="I66" t="str">
        <f t="shared" si="2"/>
        <v/>
      </c>
    </row>
    <row r="67" spans="1:9">
      <c r="A67" s="229" t="str">
        <f>IF(F67&gt;0,基础信息!$B$1,"")</f>
        <v/>
      </c>
      <c r="E67" s="276"/>
      <c r="G67" t="str">
        <f t="shared" ref="G67:G88" si="3">B67&amp;C67&amp;D67</f>
        <v/>
      </c>
      <c r="I67" t="str">
        <f t="shared" ref="I67:I119" si="4">C67&amp;D67&amp;E67</f>
        <v/>
      </c>
    </row>
    <row r="68" spans="1:9">
      <c r="A68" s="229" t="str">
        <f>IF(F68&gt;0,基础信息!$B$1,"")</f>
        <v/>
      </c>
      <c r="E68" s="276"/>
      <c r="G68" t="str">
        <f t="shared" si="3"/>
        <v/>
      </c>
      <c r="I68" t="str">
        <f t="shared" si="4"/>
        <v/>
      </c>
    </row>
    <row r="69" spans="1:9">
      <c r="A69" s="229" t="str">
        <f>IF(F69&gt;0,基础信息!$B$1,"")</f>
        <v/>
      </c>
      <c r="E69" s="276"/>
      <c r="G69" t="str">
        <f t="shared" si="3"/>
        <v/>
      </c>
      <c r="I69" t="str">
        <f t="shared" si="4"/>
        <v/>
      </c>
    </row>
    <row r="70" spans="1:9">
      <c r="A70" s="229" t="str">
        <f>IF(F70&gt;0,基础信息!$B$1,"")</f>
        <v/>
      </c>
      <c r="E70" s="276"/>
      <c r="G70" t="str">
        <f t="shared" si="3"/>
        <v/>
      </c>
      <c r="I70" t="str">
        <f t="shared" si="4"/>
        <v/>
      </c>
    </row>
    <row r="71" spans="1:9">
      <c r="A71" s="229" t="str">
        <f>IF(F71&gt;0,基础信息!$B$1,"")</f>
        <v/>
      </c>
      <c r="E71" s="276"/>
      <c r="G71" t="str">
        <f t="shared" si="3"/>
        <v/>
      </c>
      <c r="I71" t="str">
        <f t="shared" si="4"/>
        <v/>
      </c>
    </row>
    <row r="72" spans="1:9">
      <c r="A72" s="229" t="str">
        <f>IF(F72&gt;0,基础信息!$B$1,"")</f>
        <v/>
      </c>
      <c r="E72" s="276"/>
      <c r="G72" t="str">
        <f t="shared" si="3"/>
        <v/>
      </c>
      <c r="I72" t="str">
        <f t="shared" si="4"/>
        <v/>
      </c>
    </row>
    <row r="73" spans="1:9">
      <c r="A73" s="229" t="str">
        <f>IF(F73&gt;0,基础信息!$B$1,"")</f>
        <v/>
      </c>
      <c r="E73" s="276"/>
      <c r="G73" t="str">
        <f t="shared" si="3"/>
        <v/>
      </c>
      <c r="I73" t="str">
        <f t="shared" si="4"/>
        <v/>
      </c>
    </row>
    <row r="74" spans="1:9">
      <c r="A74" s="229" t="str">
        <f>IF(F74&gt;0,基础信息!$B$1,"")</f>
        <v/>
      </c>
      <c r="E74" s="276"/>
      <c r="G74" t="str">
        <f t="shared" si="3"/>
        <v/>
      </c>
      <c r="I74" t="str">
        <f t="shared" si="4"/>
        <v/>
      </c>
    </row>
    <row r="75" spans="1:9">
      <c r="A75" s="229" t="str">
        <f>IF(F75&gt;0,基础信息!$B$1,"")</f>
        <v/>
      </c>
      <c r="E75" s="276"/>
      <c r="G75" t="str">
        <f t="shared" si="3"/>
        <v/>
      </c>
      <c r="I75" t="str">
        <f t="shared" si="4"/>
        <v/>
      </c>
    </row>
    <row r="76" spans="1:9">
      <c r="A76" s="229" t="str">
        <f>IF(F76&gt;0,基础信息!$B$1,"")</f>
        <v/>
      </c>
      <c r="E76" s="276"/>
      <c r="G76" t="str">
        <f t="shared" si="3"/>
        <v/>
      </c>
      <c r="I76" t="str">
        <f t="shared" si="4"/>
        <v/>
      </c>
    </row>
    <row r="77" spans="1:9">
      <c r="A77" s="229" t="str">
        <f>IF(F77&gt;0,基础信息!$B$1,"")</f>
        <v/>
      </c>
      <c r="E77" s="276"/>
      <c r="G77" t="str">
        <f t="shared" si="3"/>
        <v/>
      </c>
      <c r="I77" t="str">
        <f t="shared" si="4"/>
        <v/>
      </c>
    </row>
    <row r="78" spans="1:9">
      <c r="A78" s="229" t="str">
        <f>IF(F78&gt;0,基础信息!$B$1,"")</f>
        <v/>
      </c>
      <c r="E78" s="276"/>
      <c r="G78" t="str">
        <f t="shared" si="3"/>
        <v/>
      </c>
      <c r="I78" t="str">
        <f t="shared" si="4"/>
        <v/>
      </c>
    </row>
    <row r="79" spans="1:9">
      <c r="A79" s="229" t="str">
        <f>IF(F79&gt;0,基础信息!$B$1,"")</f>
        <v/>
      </c>
      <c r="E79" s="276"/>
      <c r="G79" t="str">
        <f t="shared" si="3"/>
        <v/>
      </c>
      <c r="I79" t="str">
        <f t="shared" si="4"/>
        <v/>
      </c>
    </row>
    <row r="80" spans="1:9">
      <c r="A80" s="229" t="str">
        <f>IF(F80&gt;0,基础信息!$B$1,"")</f>
        <v/>
      </c>
      <c r="E80" s="276"/>
      <c r="G80" t="str">
        <f t="shared" si="3"/>
        <v/>
      </c>
      <c r="I80" t="str">
        <f t="shared" si="4"/>
        <v/>
      </c>
    </row>
    <row r="81" spans="1:9">
      <c r="A81" s="229" t="str">
        <f>IF(F81&gt;0,基础信息!$B$1,"")</f>
        <v/>
      </c>
      <c r="E81" s="276"/>
      <c r="G81" t="str">
        <f t="shared" si="3"/>
        <v/>
      </c>
      <c r="I81" t="str">
        <f t="shared" si="4"/>
        <v/>
      </c>
    </row>
    <row r="82" spans="1:9">
      <c r="A82" s="229" t="str">
        <f>IF(F82&gt;0,基础信息!$B$1,"")</f>
        <v/>
      </c>
      <c r="E82" s="276"/>
      <c r="G82" t="str">
        <f t="shared" si="3"/>
        <v/>
      </c>
      <c r="I82" t="str">
        <f t="shared" si="4"/>
        <v/>
      </c>
    </row>
    <row r="83" spans="1:9">
      <c r="A83" s="229" t="str">
        <f>IF(F83&gt;0,基础信息!$B$1,"")</f>
        <v/>
      </c>
      <c r="E83" s="276"/>
      <c r="G83" t="str">
        <f t="shared" si="3"/>
        <v/>
      </c>
      <c r="I83" t="str">
        <f t="shared" si="4"/>
        <v/>
      </c>
    </row>
    <row r="84" spans="1:9">
      <c r="A84" s="229" t="str">
        <f>IF(F84&gt;0,基础信息!$B$1,"")</f>
        <v/>
      </c>
      <c r="E84" s="276"/>
      <c r="G84" t="str">
        <f t="shared" si="3"/>
        <v/>
      </c>
      <c r="I84" t="str">
        <f t="shared" si="4"/>
        <v/>
      </c>
    </row>
    <row r="85" spans="1:9">
      <c r="A85" s="229" t="str">
        <f>IF(F85&gt;0,基础信息!$B$1,"")</f>
        <v/>
      </c>
      <c r="E85" s="276"/>
      <c r="G85" t="str">
        <f t="shared" si="3"/>
        <v/>
      </c>
      <c r="I85" t="str">
        <f t="shared" si="4"/>
        <v/>
      </c>
    </row>
    <row r="86" spans="1:9">
      <c r="A86" s="229" t="str">
        <f>IF(F86&gt;0,基础信息!$B$1,"")</f>
        <v/>
      </c>
      <c r="E86" s="276"/>
      <c r="G86" t="str">
        <f t="shared" si="3"/>
        <v/>
      </c>
      <c r="I86" t="str">
        <f t="shared" si="4"/>
        <v/>
      </c>
    </row>
    <row r="87" spans="1:9">
      <c r="A87" s="229" t="str">
        <f>IF(F87&gt;0,基础信息!$B$1,"")</f>
        <v/>
      </c>
      <c r="E87" s="276"/>
      <c r="G87" t="str">
        <f t="shared" si="3"/>
        <v/>
      </c>
      <c r="I87" t="str">
        <f t="shared" si="4"/>
        <v/>
      </c>
    </row>
    <row r="88" spans="1:9">
      <c r="A88" s="229" t="str">
        <f>IF(F88&gt;0,基础信息!$B$1,"")</f>
        <v/>
      </c>
      <c r="E88" s="276"/>
      <c r="G88" t="str">
        <f t="shared" si="3"/>
        <v/>
      </c>
      <c r="I88" t="str">
        <f t="shared" si="4"/>
        <v/>
      </c>
    </row>
    <row r="89" spans="1:9">
      <c r="A89" s="229" t="str">
        <f>IF(F89&gt;0,基础信息!$B$1,"")</f>
        <v/>
      </c>
      <c r="E89" s="276"/>
      <c r="I89" t="str">
        <f t="shared" si="4"/>
        <v/>
      </c>
    </row>
    <row r="90" spans="1:9">
      <c r="A90" s="229" t="str">
        <f>IF(F90&gt;0,基础信息!$B$1,"")</f>
        <v/>
      </c>
      <c r="E90" s="276"/>
      <c r="I90" t="str">
        <f t="shared" si="4"/>
        <v/>
      </c>
    </row>
    <row r="91" spans="1:9">
      <c r="A91" s="229" t="str">
        <f>IF(F91&gt;0,基础信息!$B$1,"")</f>
        <v/>
      </c>
      <c r="E91" s="276"/>
      <c r="I91" t="str">
        <f t="shared" si="4"/>
        <v/>
      </c>
    </row>
    <row r="92" spans="1:9">
      <c r="A92" s="229" t="str">
        <f>IF(F92&gt;0,基础信息!$B$1,"")</f>
        <v/>
      </c>
      <c r="E92" s="276"/>
      <c r="I92" t="str">
        <f t="shared" si="4"/>
        <v/>
      </c>
    </row>
    <row r="93" spans="1:9">
      <c r="A93" s="229" t="str">
        <f>IF(F93&gt;0,基础信息!$B$1,"")</f>
        <v/>
      </c>
      <c r="E93" s="276"/>
      <c r="I93" t="str">
        <f t="shared" si="4"/>
        <v/>
      </c>
    </row>
    <row r="94" spans="1:9">
      <c r="A94" s="229" t="str">
        <f>IF(F94&gt;0,基础信息!$B$1,"")</f>
        <v/>
      </c>
      <c r="E94" s="276"/>
      <c r="I94" t="str">
        <f t="shared" si="4"/>
        <v/>
      </c>
    </row>
    <row r="95" spans="1:9">
      <c r="A95" s="229" t="str">
        <f>IF(F95&gt;0,基础信息!$B$1,"")</f>
        <v/>
      </c>
      <c r="E95" s="276"/>
      <c r="I95" t="str">
        <f t="shared" si="4"/>
        <v/>
      </c>
    </row>
    <row r="96" spans="1:9">
      <c r="A96" s="229" t="str">
        <f>IF(F96&gt;0,基础信息!$B$1,"")</f>
        <v/>
      </c>
      <c r="E96" s="276"/>
      <c r="I96" t="str">
        <f t="shared" si="4"/>
        <v/>
      </c>
    </row>
    <row r="97" spans="1:9">
      <c r="A97" s="229" t="str">
        <f>IF(F97&gt;0,基础信息!$B$1,"")</f>
        <v/>
      </c>
      <c r="E97" s="276"/>
      <c r="I97" t="str">
        <f t="shared" si="4"/>
        <v/>
      </c>
    </row>
    <row r="98" spans="1:9">
      <c r="A98" s="229" t="str">
        <f>IF(F98&gt;0,基础信息!$B$1,"")</f>
        <v/>
      </c>
      <c r="E98" s="276"/>
      <c r="I98" t="str">
        <f t="shared" si="4"/>
        <v/>
      </c>
    </row>
    <row r="99" spans="1:9">
      <c r="A99" s="229" t="str">
        <f>IF(F99&gt;0,基础信息!$B$1,"")</f>
        <v/>
      </c>
      <c r="E99" s="276"/>
      <c r="I99" t="str">
        <f t="shared" si="4"/>
        <v/>
      </c>
    </row>
    <row r="100" spans="1:9">
      <c r="A100" s="229" t="str">
        <f>IF(F100&gt;0,基础信息!$B$1,"")</f>
        <v/>
      </c>
      <c r="E100" s="276"/>
      <c r="I100" t="str">
        <f t="shared" si="4"/>
        <v/>
      </c>
    </row>
    <row r="101" spans="1:9">
      <c r="A101" s="229" t="str">
        <f>IF(F101&gt;0,基础信息!$B$1,"")</f>
        <v/>
      </c>
      <c r="E101" s="276"/>
      <c r="I101" t="str">
        <f t="shared" si="4"/>
        <v/>
      </c>
    </row>
    <row r="102" spans="1:9">
      <c r="A102" s="229" t="str">
        <f>IF(F102&gt;0,基础信息!$B$1,"")</f>
        <v/>
      </c>
      <c r="E102" s="276"/>
      <c r="I102" t="str">
        <f t="shared" si="4"/>
        <v/>
      </c>
    </row>
    <row r="103" spans="1:9">
      <c r="A103" s="229" t="str">
        <f>IF(F103&gt;0,基础信息!$B$1,"")</f>
        <v/>
      </c>
      <c r="E103" s="276"/>
      <c r="I103" t="str">
        <f t="shared" si="4"/>
        <v/>
      </c>
    </row>
    <row r="104" spans="1:9">
      <c r="A104" s="229" t="str">
        <f>IF(F104&gt;0,基础信息!$B$1,"")</f>
        <v/>
      </c>
      <c r="E104" s="276"/>
      <c r="I104" t="str">
        <f t="shared" si="4"/>
        <v/>
      </c>
    </row>
    <row r="105" spans="1:9">
      <c r="A105" s="229" t="str">
        <f>IF(F105&gt;0,基础信息!$B$1,"")</f>
        <v/>
      </c>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分类表!$22:$22</xm:f>
          </x14:formula1>
          <xm:sqref>C15:C23 B2:B23</xm:sqref>
        </x14:dataValidation>
        <x14:dataValidation type="list" allowBlank="1" showInputMessage="1" showErrorMessage="1" xr:uid="{D2927E46-6ECE-424F-AC64-AB33568E1F2F}">
          <x14:formula1>
            <xm:f>分类表!$73:$73</xm:f>
          </x14:formula1>
          <xm:sqref>D2:D34</xm:sqref>
        </x14:dataValidation>
        <x14:dataValidation type="list" allowBlank="1" showInputMessage="1" showErrorMessage="1" xr:uid="{F8C30746-A3B0-4988-BAC2-28E58B8B998C}">
          <x14:formula1>
            <xm:f>分类表!$24:$24</xm:f>
          </x14:formula1>
          <xm:sqref>C2:C30</xm:sqref>
        </x14:dataValidation>
        <x14:dataValidation type="list" allowBlank="1" showInputMessage="1" showErrorMessage="1" xr:uid="{8DC48EA6-52D6-4882-B2F0-AD078DCD4F2B}">
          <x14:formula1>
            <xm:f>分类表!$74:$74</xm:f>
          </x14:formula1>
          <xm:sqref>E2:E109</xm:sqref>
        </x14:dataValidation>
      </x14:dataValidation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codeName="Sheet197">
    <tabColor rgb="FFFFC000"/>
  </sheetPr>
  <dimension ref="A1:D10"/>
  <sheetViews>
    <sheetView workbookViewId="0">
      <selection activeCell="E23" sqref="E23"/>
    </sheetView>
  </sheetViews>
  <sheetFormatPr defaultRowHeight="13.8"/>
  <cols>
    <col min="1" max="1" width="38.6640625" style="18" customWidth="1"/>
    <col min="2" max="4" width="18.6640625" style="18" customWidth="1"/>
    <col min="5" max="16384" width="8.88671875" style="18"/>
  </cols>
  <sheetData>
    <row r="1" spans="1:4" ht="14.4">
      <c r="A1" s="20" t="s">
        <v>28</v>
      </c>
      <c r="B1" s="20" t="s">
        <v>2479</v>
      </c>
      <c r="C1" s="20" t="s">
        <v>422</v>
      </c>
      <c r="D1" s="20" t="s">
        <v>204</v>
      </c>
    </row>
    <row r="2" spans="1:4" ht="14.4">
      <c r="A2" s="34" t="s">
        <v>3768</v>
      </c>
      <c r="B2" s="289">
        <f>ROUND(SUMIF(采用公允价值计量模式的投资性房地产明细表!$B:$B,采用公允价值计量模式的投资性房地产!B$1,采用公允价值计量模式的投资性房地产明细表!$C:$C),2)</f>
        <v>0</v>
      </c>
      <c r="C2" s="289">
        <f>ROUND(SUMIF(采用公允价值计量模式的投资性房地产明细表!$B:$B,采用公允价值计量模式的投资性房地产!C$1,采用公允价值计量模式的投资性房地产明细表!$C:$C),2)</f>
        <v>0</v>
      </c>
      <c r="D2" s="151">
        <f>ROUND(SUM(B2:C2),2)</f>
        <v>0</v>
      </c>
    </row>
    <row r="3" spans="1:4" ht="14.4">
      <c r="A3" s="34" t="s">
        <v>3769</v>
      </c>
      <c r="B3" s="289">
        <f>ROUND(SUM(B4:B6),2)</f>
        <v>0</v>
      </c>
      <c r="C3" s="289">
        <f>ROUND(SUM(C4:C6),2)</f>
        <v>0</v>
      </c>
      <c r="D3" s="289">
        <f>ROUND(SUM(D4:D6),2)</f>
        <v>0</v>
      </c>
    </row>
    <row r="4" spans="1:4" ht="14.4">
      <c r="A4" s="527" t="s">
        <v>3771</v>
      </c>
      <c r="B4" s="289">
        <f>ROUND(SUMIF(采用公允价值计量模式的投资性房地产明细表!$B:$B,采用公允价值计量模式的投资性房地产!B$1,采用公允价值计量模式的投资性房地产明细表!$D:$D),2)</f>
        <v>0</v>
      </c>
      <c r="C4" s="289">
        <f>ROUND(SUMIF(采用公允价值计量模式的投资性房地产明细表!$B:$B,采用公允价值计量模式的投资性房地产!C$1,采用公允价值计量模式的投资性房地产明细表!$D:$D),2)</f>
        <v>0</v>
      </c>
      <c r="D4" s="151">
        <f>ROUND(SUM(B4:C4),2)</f>
        <v>0</v>
      </c>
    </row>
    <row r="5" spans="1:4" ht="14.4">
      <c r="A5" s="606" t="s">
        <v>3772</v>
      </c>
      <c r="B5" s="289">
        <f>ROUND(SUMIF(采用公允价值计量模式的投资性房地产明细表!$B:$B,采用公允价值计量模式的投资性房地产!B$1,采用公允价值计量模式的投资性房地产明细表!$E:$E),2)</f>
        <v>0</v>
      </c>
      <c r="C5" s="289">
        <f>ROUND(SUMIF(采用公允价值计量模式的投资性房地产明细表!$B:$B,采用公允价值计量模式的投资性房地产!C$1,采用公允价值计量模式的投资性房地产明细表!$E:$E),2)</f>
        <v>0</v>
      </c>
      <c r="D5" s="151">
        <f>ROUND(SUM(B5:C5),2)</f>
        <v>0</v>
      </c>
    </row>
    <row r="6" spans="1:4" ht="15.6">
      <c r="A6" s="607" t="s">
        <v>3773</v>
      </c>
      <c r="B6" s="289"/>
      <c r="C6" s="289"/>
      <c r="D6" s="151">
        <f>ROUND(SUM(B6:C6),2)</f>
        <v>0</v>
      </c>
    </row>
    <row r="7" spans="1:4" ht="15.6">
      <c r="A7" s="605" t="s">
        <v>3770</v>
      </c>
      <c r="B7" s="289">
        <f>ROUND(SUM(B8:B9),2)</f>
        <v>0</v>
      </c>
      <c r="C7" s="289">
        <f>ROUND(SUM(C8:C9),2)</f>
        <v>0</v>
      </c>
      <c r="D7" s="289">
        <f>ROUND(SUM(D8:D9),2)</f>
        <v>0</v>
      </c>
    </row>
    <row r="8" spans="1:4" ht="14.4">
      <c r="A8" s="527" t="s">
        <v>3774</v>
      </c>
      <c r="B8" s="289">
        <f>ROUND(SUMIF(采用公允价值计量模式的投资性房地产明细表!$B:$B,采用公允价值计量模式的投资性房地产!B$1,采用公允价值计量模式的投资性房地产明细表!$G:$G),2)</f>
        <v>0</v>
      </c>
      <c r="C8" s="289">
        <f>ROUND(SUMIF(采用公允价值计量模式的投资性房地产明细表!$B:$B,采用公允价值计量模式的投资性房地产!C$1,采用公允价值计量模式的投资性房地产明细表!$G:$G),2)</f>
        <v>0</v>
      </c>
      <c r="D8" s="151">
        <f>ROUND(SUM(B8:C8),2)</f>
        <v>0</v>
      </c>
    </row>
    <row r="9" spans="1:4" ht="15.6">
      <c r="A9" s="608" t="s">
        <v>3775</v>
      </c>
      <c r="B9" s="289">
        <f>ROUND(SUMIF(采用公允价值计量模式的投资性房地产明细表!$B:$B,采用公允价值计量模式的投资性房地产!B$1,采用公允价值计量模式的投资性房地产明细表!$H:$H),2)</f>
        <v>0</v>
      </c>
      <c r="C9" s="289">
        <f>ROUND(SUMIF(采用公允价值计量模式的投资性房地产明细表!$B:$B,采用公允价值计量模式的投资性房地产!C$1,采用公允价值计量模式的投资性房地产明细表!$H:$H),2)</f>
        <v>0</v>
      </c>
      <c r="D9" s="151">
        <f>ROUND(SUM(B9:C9),2)</f>
        <v>0</v>
      </c>
    </row>
    <row r="10" spans="1:4" ht="14.4">
      <c r="A10" s="34" t="s">
        <v>3776</v>
      </c>
      <c r="B10" s="289">
        <f>ROUND(B2+B3-B7,2)</f>
        <v>0</v>
      </c>
      <c r="C10" s="289">
        <f>ROUND(C2+C3-C7,2)</f>
        <v>0</v>
      </c>
      <c r="D10" s="289">
        <f>ROUND(D2+D3-D7,2)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31EA2F-24F9-439D-AFB8-965314D7262B}">
          <x14:formula1>
            <xm:f>分类表!$22:$22</xm:f>
          </x14:formula1>
          <xm:sqref>B1:C1</xm:sqref>
        </x14:dataValidation>
      </x14:dataValidations>
    </ext>
  </extLst>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A109-3138-490E-AF58-F6E064E4B637}">
  <sheetPr codeName="Sheet198"/>
  <dimension ref="A1:I19"/>
  <sheetViews>
    <sheetView workbookViewId="0">
      <selection activeCell="I13" sqref="I13"/>
    </sheetView>
  </sheetViews>
  <sheetFormatPr defaultRowHeight="13.8"/>
  <cols>
    <col min="3" max="3" width="13.88671875" bestFit="1" customWidth="1"/>
    <col min="4" max="4" width="5.5546875" bestFit="1" customWidth="1"/>
    <col min="5" max="5" width="22.6640625" bestFit="1" customWidth="1"/>
    <col min="6" max="6" width="18.33203125" bestFit="1" customWidth="1"/>
    <col min="7" max="7" width="5.5546875" bestFit="1" customWidth="1"/>
    <col min="8" max="8" width="16.109375" bestFit="1" customWidth="1"/>
    <col min="9" max="9" width="13.88671875" style="229" bestFit="1" customWidth="1"/>
  </cols>
  <sheetData>
    <row r="1" spans="1:9">
      <c r="A1" t="s">
        <v>2383</v>
      </c>
      <c r="B1" t="s">
        <v>337</v>
      </c>
      <c r="C1" t="s">
        <v>2360</v>
      </c>
      <c r="D1" t="s">
        <v>3094</v>
      </c>
      <c r="E1" t="s">
        <v>3534</v>
      </c>
      <c r="F1" t="s">
        <v>3301</v>
      </c>
      <c r="G1" t="s">
        <v>3075</v>
      </c>
      <c r="H1" t="s">
        <v>3535</v>
      </c>
      <c r="I1" s="229" t="s">
        <v>2365</v>
      </c>
    </row>
    <row r="2" spans="1:9">
      <c r="A2" t="str">
        <f>IF(OR(C2&gt;0,I2&gt;0),基础信息!$B$1,"")</f>
        <v/>
      </c>
      <c r="B2" s="276"/>
      <c r="C2" s="255"/>
      <c r="D2" s="255"/>
      <c r="E2" s="255"/>
      <c r="F2" s="255"/>
      <c r="G2" s="255"/>
      <c r="H2" s="255"/>
      <c r="I2" s="229">
        <f>C2+D2+E2+F2-G2-H2</f>
        <v>0</v>
      </c>
    </row>
    <row r="3" spans="1:9">
      <c r="A3" t="str">
        <f>IF(OR(C3&gt;0,I3&gt;0),基础信息!$B$1,"")</f>
        <v/>
      </c>
      <c r="B3" s="276"/>
      <c r="C3" s="255"/>
      <c r="D3" s="255"/>
      <c r="E3" s="255"/>
      <c r="F3" s="255"/>
      <c r="G3" s="255"/>
      <c r="H3" s="255"/>
      <c r="I3" s="229">
        <f t="shared" ref="I3:I19" si="0">C3+D3+E3+F3-G3-H3</f>
        <v>0</v>
      </c>
    </row>
    <row r="4" spans="1:9">
      <c r="A4" t="str">
        <f>IF(OR(C4&gt;0,I4&gt;0),基础信息!$B$1,"")</f>
        <v/>
      </c>
      <c r="B4" s="276"/>
      <c r="C4" s="255"/>
      <c r="D4" s="255"/>
      <c r="E4" s="255"/>
      <c r="F4" s="255"/>
      <c r="G4" s="255"/>
      <c r="H4" s="255"/>
      <c r="I4" s="229">
        <f t="shared" si="0"/>
        <v>0</v>
      </c>
    </row>
    <row r="5" spans="1:9">
      <c r="A5" t="str">
        <f>IF(OR(C5&gt;0,I5&gt;0),基础信息!$B$1,"")</f>
        <v/>
      </c>
      <c r="B5" s="276"/>
      <c r="C5" s="255"/>
      <c r="D5" s="255"/>
      <c r="E5" s="255"/>
      <c r="F5" s="255"/>
      <c r="G5" s="255"/>
      <c r="H5" s="255"/>
      <c r="I5" s="229">
        <f t="shared" si="0"/>
        <v>0</v>
      </c>
    </row>
    <row r="6" spans="1:9">
      <c r="A6" t="str">
        <f>IF(OR(C6&gt;0,I6&gt;0),基础信息!$B$1,"")</f>
        <v/>
      </c>
      <c r="B6" s="276"/>
      <c r="C6" s="255"/>
      <c r="D6" s="255"/>
      <c r="E6" s="255"/>
      <c r="F6" s="255"/>
      <c r="G6" s="255"/>
      <c r="H6" s="255"/>
      <c r="I6" s="229">
        <f t="shared" si="0"/>
        <v>0</v>
      </c>
    </row>
    <row r="7" spans="1:9">
      <c r="A7" t="str">
        <f>IF(OR(C7&gt;0,I7&gt;0),基础信息!$B$1,"")</f>
        <v/>
      </c>
      <c r="B7" s="276"/>
      <c r="C7" s="255"/>
      <c r="D7" s="255"/>
      <c r="E7" s="255"/>
      <c r="F7" s="255"/>
      <c r="G7" s="255"/>
      <c r="H7" s="255"/>
      <c r="I7" s="229">
        <f t="shared" si="0"/>
        <v>0</v>
      </c>
    </row>
    <row r="8" spans="1:9">
      <c r="A8" t="str">
        <f>IF(OR(C8&gt;0,I8&gt;0),基础信息!$B$1,"")</f>
        <v/>
      </c>
      <c r="B8" s="276"/>
      <c r="C8" s="255"/>
      <c r="D8" s="255"/>
      <c r="E8" s="255"/>
      <c r="F8" s="255"/>
      <c r="G8" s="255"/>
      <c r="H8" s="255"/>
      <c r="I8" s="229">
        <f t="shared" si="0"/>
        <v>0</v>
      </c>
    </row>
    <row r="9" spans="1:9">
      <c r="A9" t="str">
        <f>IF(OR(C9&gt;0,I9&gt;0),基础信息!$B$1,"")</f>
        <v/>
      </c>
      <c r="B9" s="276"/>
      <c r="C9" s="255"/>
      <c r="D9" s="255"/>
      <c r="E9" s="255"/>
      <c r="F9" s="255"/>
      <c r="G9" s="255"/>
      <c r="H9" s="255"/>
      <c r="I9" s="229">
        <f t="shared" si="0"/>
        <v>0</v>
      </c>
    </row>
    <row r="10" spans="1:9">
      <c r="A10" t="str">
        <f>IF(OR(C10&gt;0,I10&gt;0),基础信息!$B$1,"")</f>
        <v/>
      </c>
      <c r="B10" s="276"/>
      <c r="C10" s="255"/>
      <c r="D10" s="255"/>
      <c r="E10" s="255"/>
      <c r="F10" s="255"/>
      <c r="G10" s="255"/>
      <c r="H10" s="255"/>
      <c r="I10" s="229">
        <f t="shared" si="0"/>
        <v>0</v>
      </c>
    </row>
    <row r="11" spans="1:9">
      <c r="A11" t="str">
        <f>IF(OR(C11&gt;0,I11&gt;0),基础信息!$B$1,"")</f>
        <v/>
      </c>
      <c r="B11" s="276"/>
      <c r="C11" s="255"/>
      <c r="D11" s="255"/>
      <c r="E11" s="255"/>
      <c r="F11" s="255"/>
      <c r="G11" s="255"/>
      <c r="H11" s="255"/>
      <c r="I11" s="229">
        <f t="shared" si="0"/>
        <v>0</v>
      </c>
    </row>
    <row r="12" spans="1:9">
      <c r="A12" t="str">
        <f>IF(OR(C12&gt;0,I12&gt;0),基础信息!$B$1,"")</f>
        <v/>
      </c>
      <c r="B12" s="276"/>
      <c r="C12" s="255"/>
      <c r="D12" s="255"/>
      <c r="E12" s="255"/>
      <c r="F12" s="255"/>
      <c r="G12" s="255"/>
      <c r="H12" s="255"/>
      <c r="I12" s="229">
        <f t="shared" si="0"/>
        <v>0</v>
      </c>
    </row>
    <row r="13" spans="1:9">
      <c r="A13" t="str">
        <f>IF(OR(C13&gt;0,I13&gt;0),基础信息!$B$1,"")</f>
        <v/>
      </c>
      <c r="B13" s="276"/>
      <c r="C13" s="255"/>
      <c r="D13" s="255"/>
      <c r="E13" s="255"/>
      <c r="F13" s="255"/>
      <c r="G13" s="255"/>
      <c r="H13" s="255"/>
      <c r="I13" s="229">
        <f t="shared" si="0"/>
        <v>0</v>
      </c>
    </row>
    <row r="14" spans="1:9">
      <c r="A14" t="str">
        <f>IF(OR(C14&gt;0,I14&gt;0),基础信息!$B$1,"")</f>
        <v/>
      </c>
      <c r="B14" s="276"/>
      <c r="C14" s="255"/>
      <c r="D14" s="255"/>
      <c r="E14" s="255"/>
      <c r="F14" s="255"/>
      <c r="G14" s="255"/>
      <c r="H14" s="255"/>
      <c r="I14" s="229">
        <f t="shared" si="0"/>
        <v>0</v>
      </c>
    </row>
    <row r="15" spans="1:9">
      <c r="A15" t="str">
        <f>IF(OR(C15&gt;0,I15&gt;0),基础信息!$B$1,"")</f>
        <v/>
      </c>
      <c r="B15" s="276"/>
      <c r="C15" s="255"/>
      <c r="D15" s="255"/>
      <c r="E15" s="255"/>
      <c r="F15" s="255"/>
      <c r="G15" s="255"/>
      <c r="H15" s="255"/>
      <c r="I15" s="229">
        <f t="shared" si="0"/>
        <v>0</v>
      </c>
    </row>
    <row r="16" spans="1:9">
      <c r="A16" t="str">
        <f>IF(OR(C16&gt;0,I16&gt;0),基础信息!$B$1,"")</f>
        <v/>
      </c>
      <c r="B16" s="276"/>
      <c r="C16" s="255"/>
      <c r="D16" s="255"/>
      <c r="E16" s="255"/>
      <c r="F16" s="255"/>
      <c r="G16" s="255"/>
      <c r="H16" s="255"/>
      <c r="I16" s="229">
        <f t="shared" si="0"/>
        <v>0</v>
      </c>
    </row>
    <row r="17" spans="1:9">
      <c r="A17" t="str">
        <f>IF(OR(C17&gt;0,I17&gt;0),基础信息!$B$1,"")</f>
        <v/>
      </c>
      <c r="B17" s="276"/>
      <c r="C17" s="255"/>
      <c r="D17" s="255"/>
      <c r="E17" s="255"/>
      <c r="F17" s="255"/>
      <c r="G17" s="255"/>
      <c r="H17" s="255"/>
      <c r="I17" s="229">
        <f t="shared" si="0"/>
        <v>0</v>
      </c>
    </row>
    <row r="18" spans="1:9">
      <c r="A18" t="str">
        <f>IF(OR(C18&gt;0,I18&gt;0),基础信息!$B$1,"")</f>
        <v/>
      </c>
      <c r="B18" s="276"/>
      <c r="C18" s="255"/>
      <c r="D18" s="255"/>
      <c r="E18" s="255"/>
      <c r="F18" s="255"/>
      <c r="G18" s="255"/>
      <c r="H18" s="255"/>
      <c r="I18" s="229">
        <f t="shared" si="0"/>
        <v>0</v>
      </c>
    </row>
    <row r="19" spans="1:9">
      <c r="A19" t="str">
        <f>IF(OR(C19&gt;0,I19&gt;0),基础信息!$B$1,"")</f>
        <v/>
      </c>
      <c r="I19"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A7E998-CE27-41E5-8F69-6D5230D07EE2}">
          <x14:formula1>
            <xm:f>分类表!$22:$22</xm:f>
          </x14:formula1>
          <xm:sqref>B2:B18</xm:sqref>
        </x14:dataValidation>
      </x14:dataValidation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codeName="Sheet199">
    <tabColor rgb="FFFFC000"/>
  </sheetPr>
  <dimension ref="A1:C3"/>
  <sheetViews>
    <sheetView workbookViewId="0">
      <selection activeCell="E14" sqref="E14"/>
    </sheetView>
  </sheetViews>
  <sheetFormatPr defaultRowHeight="13.8"/>
  <cols>
    <col min="1" max="3" width="21.6640625" style="18" customWidth="1"/>
    <col min="4" max="16384" width="8.88671875" style="18"/>
  </cols>
  <sheetData>
    <row r="1" spans="1:3" ht="14.4">
      <c r="A1" s="20" t="s">
        <v>28</v>
      </c>
      <c r="B1" s="20" t="s">
        <v>3361</v>
      </c>
      <c r="C1" s="20" t="s">
        <v>432</v>
      </c>
    </row>
    <row r="2" spans="1:3">
      <c r="A2" s="604" t="s">
        <v>2479</v>
      </c>
      <c r="B2" s="555">
        <f>ROUND(SUMIF(未办妥权证的投资性房地产明细表!C:C,未办妥产权证书的投资性房地产金额及原因!A2,未办妥权证的投资性房地产明细表!I:I),2)</f>
        <v>0</v>
      </c>
      <c r="C2" s="275"/>
    </row>
    <row r="3" spans="1:3">
      <c r="A3" s="604" t="s">
        <v>422</v>
      </c>
      <c r="B3" s="555">
        <f>ROUND(SUMIF(未办妥权证的投资性房地产明细表!C:C,未办妥产权证书的投资性房地产金额及原因!A3,未办妥权证的投资性房地产明细表!I:I),2)</f>
        <v>0</v>
      </c>
      <c r="C3" s="27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分类表!$22:$22</xm:f>
          </x14:formula1>
          <xm:sqref>A2:A3</xm:sqref>
        </x14:dataValidation>
      </x14:dataValidation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92C74-61F7-4B94-B091-5C341C383B91}">
  <sheetPr codeName="Sheet200"/>
  <dimension ref="A1:I28"/>
  <sheetViews>
    <sheetView workbookViewId="0">
      <pane xSplit="1" ySplit="1" topLeftCell="B2" activePane="bottomRight" state="frozen"/>
      <selection pane="topRight" activeCell="B1" sqref="B1"/>
      <selection pane="bottomLeft" activeCell="A2" sqref="A2"/>
      <selection pane="bottomRight" activeCell="J20" sqref="J20"/>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9" bestFit="1" customWidth="1"/>
  </cols>
  <sheetData>
    <row r="1" spans="1:9">
      <c r="A1" t="s">
        <v>2383</v>
      </c>
      <c r="B1" t="s">
        <v>3536</v>
      </c>
      <c r="C1" t="s">
        <v>3537</v>
      </c>
      <c r="D1" t="s">
        <v>432</v>
      </c>
      <c r="E1" t="s">
        <v>3538</v>
      </c>
      <c r="F1" t="s">
        <v>2477</v>
      </c>
      <c r="G1" t="s">
        <v>437</v>
      </c>
      <c r="H1" t="s">
        <v>3539</v>
      </c>
      <c r="I1" s="229" t="s">
        <v>3540</v>
      </c>
    </row>
    <row r="2" spans="1:9">
      <c r="A2" t="str">
        <f>IF(F2&gt;0,基础信息!$B$1,"")</f>
        <v/>
      </c>
      <c r="B2" s="255"/>
      <c r="C2" s="276"/>
      <c r="D2" s="255"/>
      <c r="E2" s="255"/>
      <c r="F2" s="255"/>
      <c r="G2" s="255"/>
      <c r="H2" s="255"/>
      <c r="I2" s="229">
        <f>F2-G2-H2</f>
        <v>0</v>
      </c>
    </row>
    <row r="3" spans="1:9">
      <c r="A3" t="str">
        <f>IF(F3&gt;0,基础信息!$B$1,"")</f>
        <v/>
      </c>
      <c r="B3" s="255"/>
      <c r="C3" s="276"/>
      <c r="D3" s="255"/>
      <c r="E3" s="255"/>
      <c r="F3" s="255"/>
      <c r="G3" s="255"/>
      <c r="H3" s="255"/>
      <c r="I3" s="229">
        <f t="shared" ref="I3:I28" si="0">F3-G3-H3</f>
        <v>0</v>
      </c>
    </row>
    <row r="4" spans="1:9">
      <c r="A4" t="str">
        <f>IF(F4&gt;0,基础信息!$B$1,"")</f>
        <v/>
      </c>
      <c r="B4" s="255"/>
      <c r="C4" s="276"/>
      <c r="D4" s="255"/>
      <c r="E4" s="255"/>
      <c r="F4" s="255"/>
      <c r="G4" s="255"/>
      <c r="H4" s="255"/>
      <c r="I4" s="229">
        <f t="shared" si="0"/>
        <v>0</v>
      </c>
    </row>
    <row r="5" spans="1:9">
      <c r="A5" t="str">
        <f>IF(F5&gt;0,基础信息!$B$1,"")</f>
        <v/>
      </c>
      <c r="B5" s="255"/>
      <c r="C5" s="276"/>
      <c r="D5" s="255"/>
      <c r="E5" s="255"/>
      <c r="F5" s="255"/>
      <c r="G5" s="255"/>
      <c r="H5" s="255"/>
      <c r="I5" s="229">
        <f t="shared" si="0"/>
        <v>0</v>
      </c>
    </row>
    <row r="6" spans="1:9">
      <c r="A6" t="str">
        <f>IF(F6&gt;0,基础信息!$B$1,"")</f>
        <v/>
      </c>
      <c r="B6" s="255"/>
      <c r="C6" s="276"/>
      <c r="D6" s="255"/>
      <c r="E6" s="255"/>
      <c r="F6" s="255"/>
      <c r="G6" s="255"/>
      <c r="H6" s="255"/>
      <c r="I6" s="229">
        <f t="shared" si="0"/>
        <v>0</v>
      </c>
    </row>
    <row r="7" spans="1:9">
      <c r="A7" t="str">
        <f>IF(F7&gt;0,基础信息!$B$1,"")</f>
        <v/>
      </c>
      <c r="B7" s="255"/>
      <c r="C7" s="276"/>
      <c r="D7" s="255"/>
      <c r="E7" s="255"/>
      <c r="F7" s="255"/>
      <c r="G7" s="255"/>
      <c r="H7" s="255"/>
      <c r="I7" s="229">
        <f t="shared" si="0"/>
        <v>0</v>
      </c>
    </row>
    <row r="8" spans="1:9">
      <c r="A8" t="str">
        <f>IF(F8&gt;0,基础信息!$B$1,"")</f>
        <v/>
      </c>
      <c r="B8" s="255"/>
      <c r="C8" s="276"/>
      <c r="D8" s="255"/>
      <c r="E8" s="255"/>
      <c r="F8" s="255"/>
      <c r="G8" s="255"/>
      <c r="H8" s="255"/>
      <c r="I8" s="229">
        <f t="shared" si="0"/>
        <v>0</v>
      </c>
    </row>
    <row r="9" spans="1:9">
      <c r="A9" t="str">
        <f>IF(F9&gt;0,基础信息!$B$1,"")</f>
        <v/>
      </c>
      <c r="B9" s="255"/>
      <c r="C9" s="276"/>
      <c r="D9" s="255"/>
      <c r="E9" s="255"/>
      <c r="F9" s="255"/>
      <c r="G9" s="255"/>
      <c r="H9" s="255"/>
      <c r="I9" s="229">
        <f t="shared" si="0"/>
        <v>0</v>
      </c>
    </row>
    <row r="10" spans="1:9">
      <c r="A10" t="str">
        <f>IF(F10&gt;0,基础信息!$B$1,"")</f>
        <v/>
      </c>
      <c r="B10" s="255"/>
      <c r="C10" s="276"/>
      <c r="D10" s="255"/>
      <c r="E10" s="255"/>
      <c r="F10" s="255"/>
      <c r="G10" s="255"/>
      <c r="H10" s="255"/>
      <c r="I10" s="229">
        <f t="shared" si="0"/>
        <v>0</v>
      </c>
    </row>
    <row r="11" spans="1:9">
      <c r="A11" t="str">
        <f>IF(F11&gt;0,基础信息!$B$1,"")</f>
        <v/>
      </c>
      <c r="B11" s="255"/>
      <c r="C11" s="276"/>
      <c r="D11" s="255"/>
      <c r="E11" s="255"/>
      <c r="F11" s="255"/>
      <c r="G11" s="255"/>
      <c r="H11" s="255"/>
      <c r="I11" s="229">
        <f t="shared" si="0"/>
        <v>0</v>
      </c>
    </row>
    <row r="12" spans="1:9">
      <c r="A12" t="str">
        <f>IF(F12&gt;0,基础信息!$B$1,"")</f>
        <v/>
      </c>
      <c r="B12" s="255"/>
      <c r="C12" s="276"/>
      <c r="D12" s="255"/>
      <c r="E12" s="255"/>
      <c r="F12" s="255"/>
      <c r="G12" s="255"/>
      <c r="H12" s="255"/>
      <c r="I12" s="229">
        <f t="shared" si="0"/>
        <v>0</v>
      </c>
    </row>
    <row r="13" spans="1:9">
      <c r="A13" t="str">
        <f>IF(F13&gt;0,基础信息!$B$1,"")</f>
        <v/>
      </c>
      <c r="B13" s="255"/>
      <c r="C13" s="276"/>
      <c r="D13" s="255"/>
      <c r="E13" s="255"/>
      <c r="F13" s="255"/>
      <c r="G13" s="255"/>
      <c r="H13" s="255"/>
      <c r="I13" s="229">
        <f t="shared" si="0"/>
        <v>0</v>
      </c>
    </row>
    <row r="14" spans="1:9">
      <c r="A14" t="str">
        <f>IF(F14&gt;0,基础信息!$B$1,"")</f>
        <v/>
      </c>
      <c r="B14" s="255"/>
      <c r="C14" s="276"/>
      <c r="D14" s="255"/>
      <c r="E14" s="255"/>
      <c r="F14" s="255"/>
      <c r="G14" s="255"/>
      <c r="H14" s="255"/>
      <c r="I14" s="229">
        <f t="shared" si="0"/>
        <v>0</v>
      </c>
    </row>
    <row r="15" spans="1:9">
      <c r="A15" t="str">
        <f>IF(F15&gt;0,基础信息!$B$1,"")</f>
        <v/>
      </c>
      <c r="B15" s="255"/>
      <c r="C15" s="276"/>
      <c r="D15" s="255"/>
      <c r="E15" s="255"/>
      <c r="F15" s="255"/>
      <c r="G15" s="255"/>
      <c r="H15" s="255"/>
      <c r="I15" s="229">
        <f t="shared" si="0"/>
        <v>0</v>
      </c>
    </row>
    <row r="16" spans="1:9">
      <c r="A16" t="str">
        <f>IF(F16&gt;0,基础信息!$B$1,"")</f>
        <v/>
      </c>
      <c r="B16" s="255"/>
      <c r="C16" s="276"/>
      <c r="D16" s="255"/>
      <c r="E16" s="255"/>
      <c r="F16" s="255"/>
      <c r="G16" s="255"/>
      <c r="H16" s="255"/>
      <c r="I16" s="229">
        <f t="shared" si="0"/>
        <v>0</v>
      </c>
    </row>
    <row r="17" spans="1:9">
      <c r="A17" t="str">
        <f>IF(F17&gt;0,基础信息!$B$1,"")</f>
        <v/>
      </c>
      <c r="B17" s="255"/>
      <c r="C17" s="276"/>
      <c r="D17" s="255"/>
      <c r="E17" s="255"/>
      <c r="F17" s="255"/>
      <c r="G17" s="255"/>
      <c r="H17" s="255"/>
      <c r="I17" s="229">
        <f t="shared" si="0"/>
        <v>0</v>
      </c>
    </row>
    <row r="18" spans="1:9">
      <c r="A18" t="str">
        <f>IF(F18&gt;0,基础信息!$B$1,"")</f>
        <v/>
      </c>
      <c r="B18" s="255"/>
      <c r="C18" s="276"/>
      <c r="D18" s="255"/>
      <c r="E18" s="255"/>
      <c r="F18" s="255"/>
      <c r="G18" s="255"/>
      <c r="H18" s="255"/>
      <c r="I18" s="229">
        <f t="shared" si="0"/>
        <v>0</v>
      </c>
    </row>
    <row r="19" spans="1:9">
      <c r="A19" t="str">
        <f>IF(F19&gt;0,基础信息!$B$1,"")</f>
        <v/>
      </c>
      <c r="B19" s="255"/>
      <c r="C19" s="276"/>
      <c r="D19" s="255"/>
      <c r="E19" s="255"/>
      <c r="F19" s="255"/>
      <c r="G19" s="255"/>
      <c r="H19" s="255"/>
      <c r="I19" s="229">
        <f t="shared" si="0"/>
        <v>0</v>
      </c>
    </row>
    <row r="20" spans="1:9">
      <c r="A20" t="str">
        <f>IF(F20&gt;0,基础信息!$B$1,"")</f>
        <v/>
      </c>
      <c r="B20" s="255"/>
      <c r="C20" s="276"/>
      <c r="D20" s="255"/>
      <c r="E20" s="255"/>
      <c r="F20" s="255"/>
      <c r="G20" s="255"/>
      <c r="H20" s="255"/>
      <c r="I20" s="229">
        <f t="shared" si="0"/>
        <v>0</v>
      </c>
    </row>
    <row r="21" spans="1:9">
      <c r="A21" t="str">
        <f>IF(F21&gt;0,基础信息!$B$1,"")</f>
        <v/>
      </c>
      <c r="B21" s="255"/>
      <c r="C21" s="276"/>
      <c r="D21" s="255"/>
      <c r="E21" s="255"/>
      <c r="F21" s="255"/>
      <c r="G21" s="255"/>
      <c r="H21" s="255"/>
      <c r="I21" s="229">
        <f t="shared" si="0"/>
        <v>0</v>
      </c>
    </row>
    <row r="22" spans="1:9">
      <c r="A22" t="str">
        <f>IF(F22&gt;0,基础信息!$B$1,"")</f>
        <v/>
      </c>
      <c r="B22" s="255"/>
      <c r="C22" s="276"/>
      <c r="D22" s="255"/>
      <c r="E22" s="255"/>
      <c r="F22" s="255"/>
      <c r="G22" s="255"/>
      <c r="H22" s="255"/>
      <c r="I22" s="229">
        <f t="shared" si="0"/>
        <v>0</v>
      </c>
    </row>
    <row r="23" spans="1:9">
      <c r="A23" t="str">
        <f>IF(F23&gt;0,基础信息!$B$1,"")</f>
        <v/>
      </c>
      <c r="B23" s="255"/>
      <c r="C23" s="276"/>
      <c r="D23" s="255"/>
      <c r="E23" s="255"/>
      <c r="F23" s="255"/>
      <c r="G23" s="255"/>
      <c r="H23" s="255"/>
      <c r="I23" s="229">
        <f t="shared" si="0"/>
        <v>0</v>
      </c>
    </row>
    <row r="24" spans="1:9">
      <c r="A24" t="str">
        <f>IF(F24&gt;0,基础信息!$B$1,"")</f>
        <v/>
      </c>
      <c r="B24" s="255"/>
      <c r="C24" s="276"/>
      <c r="D24" s="255"/>
      <c r="E24" s="255"/>
      <c r="F24" s="255"/>
      <c r="G24" s="255"/>
      <c r="H24" s="255"/>
      <c r="I24" s="229">
        <f t="shared" si="0"/>
        <v>0</v>
      </c>
    </row>
    <row r="25" spans="1:9">
      <c r="A25" t="str">
        <f>IF(F25&gt;0,基础信息!$B$1,"")</f>
        <v/>
      </c>
      <c r="B25" s="255"/>
      <c r="C25" s="276"/>
      <c r="D25" s="255"/>
      <c r="E25" s="255"/>
      <c r="F25" s="255"/>
      <c r="G25" s="255"/>
      <c r="H25" s="255"/>
      <c r="I25" s="229">
        <f t="shared" si="0"/>
        <v>0</v>
      </c>
    </row>
    <row r="26" spans="1:9">
      <c r="A26" t="str">
        <f>IF(F26&gt;0,基础信息!$B$1,"")</f>
        <v/>
      </c>
      <c r="B26" s="255"/>
      <c r="C26" s="276"/>
      <c r="D26" s="255"/>
      <c r="E26" s="255"/>
      <c r="F26" s="255"/>
      <c r="G26" s="255"/>
      <c r="H26" s="255"/>
      <c r="I26" s="229">
        <f t="shared" si="0"/>
        <v>0</v>
      </c>
    </row>
    <row r="27" spans="1:9">
      <c r="A27" t="str">
        <f>IF(F27&gt;0,基础信息!$B$1,"")</f>
        <v/>
      </c>
      <c r="B27" s="255"/>
      <c r="C27" s="276"/>
      <c r="D27" s="255"/>
      <c r="E27" s="255"/>
      <c r="F27" s="255"/>
      <c r="G27" s="255"/>
      <c r="H27" s="255"/>
      <c r="I27" s="229">
        <f t="shared" si="0"/>
        <v>0</v>
      </c>
    </row>
    <row r="28" spans="1:9">
      <c r="A28" t="str">
        <f>IF(F28&gt;0,基础信息!$B$1,"")</f>
        <v/>
      </c>
      <c r="B28" s="255"/>
      <c r="C28" s="276"/>
      <c r="D28" s="255"/>
      <c r="E28" s="255"/>
      <c r="F28" s="255"/>
      <c r="G28" s="255"/>
      <c r="H28" s="255"/>
      <c r="I28"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1FAB355-A517-4CFC-B171-E5DF9D26D2EC}">
          <x14:formula1>
            <xm:f>分类表!$22:$22</xm:f>
          </x14:formula1>
          <xm:sqref>C2:C28</xm:sqref>
        </x14:dataValidation>
      </x14:dataValidation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sheetPr codeName="Sheet201">
    <tabColor rgb="FFFFC000"/>
  </sheetPr>
  <dimension ref="A1:C4"/>
  <sheetViews>
    <sheetView workbookViewId="0">
      <selection activeCell="G14" sqref="G14"/>
    </sheetView>
  </sheetViews>
  <sheetFormatPr defaultRowHeight="13.8"/>
  <cols>
    <col min="1" max="1" width="12.77734375" style="18" customWidth="1"/>
    <col min="2" max="2" width="9.44140625" style="18" bestFit="1" customWidth="1"/>
    <col min="3" max="16384" width="8.88671875" style="18"/>
  </cols>
  <sheetData>
    <row r="1" spans="1:3" ht="14.4">
      <c r="A1" s="20" t="s">
        <v>28</v>
      </c>
      <c r="B1" s="20" t="s">
        <v>203</v>
      </c>
      <c r="C1" s="20" t="s">
        <v>265</v>
      </c>
    </row>
    <row r="2" spans="1:3" ht="14.4">
      <c r="A2" s="34" t="s">
        <v>89</v>
      </c>
      <c r="B2" s="151">
        <f>ROUND(固定资产情况!F32,2)</f>
        <v>0</v>
      </c>
      <c r="C2" s="151">
        <f>ROUND(固定资产情况!F33,2)</f>
        <v>0</v>
      </c>
    </row>
    <row r="3" spans="1:3" ht="14.4">
      <c r="A3" s="34" t="s">
        <v>433</v>
      </c>
      <c r="B3" s="151">
        <f>ROUND(固定资产清理!B4,2)</f>
        <v>0</v>
      </c>
      <c r="C3" s="151">
        <f>ROUND(固定资产清理!C4,2)</f>
        <v>0</v>
      </c>
    </row>
    <row r="4" spans="1:3" ht="14.4">
      <c r="A4" s="20" t="s">
        <v>204</v>
      </c>
      <c r="B4" s="151">
        <f>ROUND(SUM(B2:B3),2)</f>
        <v>0</v>
      </c>
      <c r="C4" s="151">
        <f>ROUND(SUM(C2:C3),2)</f>
        <v>0</v>
      </c>
    </row>
  </sheetData>
  <phoneticPr fontId="1"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codeName="Sheet202">
    <tabColor rgb="FFFFC000"/>
  </sheetPr>
  <dimension ref="A1:F34"/>
  <sheetViews>
    <sheetView workbookViewId="0">
      <pane xSplit="1" ySplit="1" topLeftCell="B2" activePane="bottomRight" state="frozen"/>
      <selection activeCell="D22" sqref="D22"/>
      <selection pane="topRight" activeCell="D22" sqref="D22"/>
      <selection pane="bottomLeft" activeCell="D22" sqref="D22"/>
      <selection pane="bottomRight" activeCell="G34" sqref="G34"/>
    </sheetView>
  </sheetViews>
  <sheetFormatPr defaultRowHeight="13.8"/>
  <cols>
    <col min="1" max="1" width="33.88671875" style="150" bestFit="1" customWidth="1"/>
    <col min="2" max="2" width="13.88671875" style="150" bestFit="1" customWidth="1"/>
    <col min="3" max="3" width="13.88671875" style="150" customWidth="1"/>
    <col min="4" max="4" width="9.5546875" style="150" bestFit="1" customWidth="1"/>
    <col min="5" max="5" width="22.6640625" style="150" bestFit="1" customWidth="1"/>
    <col min="6" max="6" width="8.77734375" style="150" bestFit="1" customWidth="1"/>
    <col min="7" max="7" width="28.77734375" style="150" bestFit="1" customWidth="1"/>
    <col min="8" max="16384" width="8.88671875" style="150"/>
  </cols>
  <sheetData>
    <row r="1" spans="1:6" ht="14.4">
      <c r="A1" s="523" t="s">
        <v>28</v>
      </c>
      <c r="B1" s="528" t="s">
        <v>3072</v>
      </c>
      <c r="C1" s="528" t="s">
        <v>3083</v>
      </c>
      <c r="D1" s="528" t="s">
        <v>441</v>
      </c>
      <c r="E1" s="528" t="s">
        <v>3082</v>
      </c>
      <c r="F1" s="523" t="s">
        <v>204</v>
      </c>
    </row>
    <row r="2" spans="1:6" ht="14.4">
      <c r="A2" s="524" t="s">
        <v>424</v>
      </c>
      <c r="B2" s="525"/>
      <c r="C2" s="525"/>
      <c r="D2" s="525"/>
      <c r="E2" s="525"/>
      <c r="F2" s="525"/>
    </row>
    <row r="3" spans="1:6" ht="14.4">
      <c r="A3" s="526" t="s">
        <v>3077</v>
      </c>
      <c r="B3" s="289">
        <f>ROUND(SUMIF(固定资产明细表!$H:$H,B$1&amp;"原值期初数",固定资产明细表!$F:$F),2)</f>
        <v>0</v>
      </c>
      <c r="C3" s="289">
        <f>ROUND(SUMIF(固定资产明细表!$H:$H,C$1&amp;"原值期初数",固定资产明细表!$F:$F),2)</f>
        <v>0</v>
      </c>
      <c r="D3" s="289">
        <f>ROUND(SUMIF(固定资产明细表!$H:$H,D$1&amp;"原值期初数",固定资产明细表!$F:$F),2)</f>
        <v>0</v>
      </c>
      <c r="E3" s="289">
        <f>ROUND(SUMIF(固定资产明细表!$H:$H,E$1&amp;"原值期初数",固定资产明细表!$F:$F),2)</f>
        <v>0</v>
      </c>
      <c r="F3" s="289">
        <f t="shared" ref="F3:F12" si="0">ROUND(SUM(B3:E3),2)</f>
        <v>0</v>
      </c>
    </row>
    <row r="4" spans="1:6" ht="14.4">
      <c r="A4" s="526" t="s">
        <v>425</v>
      </c>
      <c r="B4" s="289">
        <f>ROUND(SUM(B5:B8),2)</f>
        <v>0</v>
      </c>
      <c r="C4" s="289">
        <f>ROUND(SUM(C5:C8),2)</f>
        <v>0</v>
      </c>
      <c r="D4" s="289">
        <f>ROUND(SUM(D5:D8),2)</f>
        <v>0</v>
      </c>
      <c r="E4" s="289">
        <f>ROUND(SUM(E5:E8),2)</f>
        <v>0</v>
      </c>
      <c r="F4" s="289">
        <f t="shared" si="0"/>
        <v>0</v>
      </c>
    </row>
    <row r="5" spans="1:6" ht="14.4">
      <c r="A5" s="527" t="s">
        <v>3777</v>
      </c>
      <c r="B5" s="289">
        <f>ROUND(SUMIF(固定资产明细表!$H:$H,B$1&amp;"原值本期增加"&amp;REPLACE($A5,1,3,""),固定资产明细表!$F:$F),2)</f>
        <v>0</v>
      </c>
      <c r="C5" s="289">
        <f>ROUND(SUMIF(固定资产明细表!$H:$H,C$1&amp;"原值本期增加"&amp;REPLACE($A5,1,3,""),固定资产明细表!$F:$F),2)</f>
        <v>0</v>
      </c>
      <c r="D5" s="289">
        <f>ROUND(SUMIF(固定资产明细表!$H:$H,D$1&amp;"原值本期增加"&amp;REPLACE($A5,1,3,""),固定资产明细表!$F:$F),2)</f>
        <v>0</v>
      </c>
      <c r="E5" s="289">
        <f>ROUND(SUMIF(固定资产明细表!$H:$H,E$1&amp;"原值本期增加"&amp;REPLACE($A5,1,3,""),固定资产明细表!$F:$F),2)</f>
        <v>0</v>
      </c>
      <c r="F5" s="289">
        <f t="shared" si="0"/>
        <v>0</v>
      </c>
    </row>
    <row r="6" spans="1:6" ht="14.4">
      <c r="A6" s="527" t="s">
        <v>3760</v>
      </c>
      <c r="B6" s="289">
        <f>ROUND(SUMIF(固定资产明细表!$H:$H,B$1&amp;"原值本期增加"&amp;REPLACE($A6,1,3,""),固定资产明细表!$F:$F),2)</f>
        <v>0</v>
      </c>
      <c r="C6" s="289">
        <f>ROUND(SUMIF(固定资产明细表!$H:$H,C$1&amp;"原值本期增加"&amp;REPLACE($A6,1,3,""),固定资产明细表!$F:$F),2)</f>
        <v>0</v>
      </c>
      <c r="D6" s="289">
        <f>ROUND(SUMIF(固定资产明细表!$H:$H,D$1&amp;"原值本期增加"&amp;REPLACE($A6,1,3,""),固定资产明细表!$F:$F),2)</f>
        <v>0</v>
      </c>
      <c r="E6" s="289">
        <f>ROUND(SUMIF(固定资产明细表!$H:$H,E$1&amp;"原值本期增加"&amp;REPLACE($A6,1,3,""),固定资产明细表!$F:$F),2)</f>
        <v>0</v>
      </c>
      <c r="F6" s="289">
        <f t="shared" si="0"/>
        <v>0</v>
      </c>
    </row>
    <row r="7" spans="1:6" ht="14.4">
      <c r="A7" s="527" t="s">
        <v>3778</v>
      </c>
      <c r="B7" s="289">
        <f>ROUND(SUMIF(固定资产明细表!$H:$H,B$1&amp;"原值本期增加"&amp;REPLACE($A7,1,3,""),固定资产明细表!$F:$F),2)</f>
        <v>0</v>
      </c>
      <c r="C7" s="289">
        <f>ROUND(SUMIF(固定资产明细表!$H:$H,C$1&amp;"原值本期增加"&amp;REPLACE($A7,1,3,""),固定资产明细表!$F:$F),2)</f>
        <v>0</v>
      </c>
      <c r="D7" s="289">
        <f>ROUND(SUMIF(固定资产明细表!$H:$H,D$1&amp;"原值本期增加"&amp;REPLACE($A7,1,3,""),固定资产明细表!$F:$F),2)</f>
        <v>0</v>
      </c>
      <c r="E7" s="289">
        <f>ROUND(SUMIF(固定资产明细表!$H:$H,E$1&amp;"原值本期增加"&amp;REPLACE($A7,1,3,""),固定资产明细表!$F:$F),2)</f>
        <v>0</v>
      </c>
      <c r="F7" s="289">
        <f t="shared" si="0"/>
        <v>0</v>
      </c>
    </row>
    <row r="8" spans="1:6" ht="14.4">
      <c r="A8" s="527" t="s">
        <v>3762</v>
      </c>
      <c r="B8" s="289">
        <f>ROUND(SUMIF(固定资产明细表!$H:$H,B$1&amp;"原值本期增加"&amp;REPLACE($A8,1,3,""),固定资产明细表!$F:$F),2)</f>
        <v>0</v>
      </c>
      <c r="C8" s="289">
        <f>ROUND(SUMIF(固定资产明细表!$H:$H,C$1&amp;"原值本期增加"&amp;REPLACE($A8,1,3,""),固定资产明细表!$F:$F),2)</f>
        <v>0</v>
      </c>
      <c r="D8" s="289">
        <f>ROUND(SUMIF(固定资产明细表!$H:$H,D$1&amp;"原值本期增加"&amp;REPLACE($A8,1,3,""),固定资产明细表!$F:$F),2)</f>
        <v>0</v>
      </c>
      <c r="E8" s="289">
        <f>ROUND(SUMIF(固定资产明细表!$H:$H,E$1&amp;"原值本期增加"&amp;REPLACE($A8,1,3,""),固定资产明细表!$F:$F),2)</f>
        <v>0</v>
      </c>
      <c r="F8" s="289">
        <f t="shared" si="0"/>
        <v>0</v>
      </c>
    </row>
    <row r="9" spans="1:6" ht="14.4">
      <c r="A9" s="526" t="s">
        <v>426</v>
      </c>
      <c r="B9" s="289">
        <f>ROUND(SUM(B10:B11),2)</f>
        <v>0</v>
      </c>
      <c r="C9" s="289">
        <f>ROUND(SUM(C10:C11),2)</f>
        <v>0</v>
      </c>
      <c r="D9" s="289">
        <f>ROUND(SUM(D10:D11),2)</f>
        <v>0</v>
      </c>
      <c r="E9" s="289">
        <f>ROUND(SUM(E10:E11),2)</f>
        <v>0</v>
      </c>
      <c r="F9" s="289">
        <f t="shared" si="0"/>
        <v>0</v>
      </c>
    </row>
    <row r="10" spans="1:6" ht="14.4">
      <c r="A10" s="527" t="s">
        <v>3774</v>
      </c>
      <c r="B10" s="289">
        <f>ROUND(SUMIF(固定资产明细表!$H:$H,B$1&amp;"原值本期减少"&amp;REPLACE($A10,1,3,""),固定资产明细表!$F:$F),2)</f>
        <v>0</v>
      </c>
      <c r="C10" s="289">
        <f>ROUND(SUMIF(固定资产明细表!$H:$H,C$1&amp;"原值本期减少"&amp;REPLACE($A10,1,3,""),固定资产明细表!$F:$F),2)</f>
        <v>0</v>
      </c>
      <c r="D10" s="289">
        <f>ROUND(SUMIF(固定资产明细表!$H:$H,D$1&amp;"原值本期减少"&amp;REPLACE($A10,1,3,""),固定资产明细表!$F:$F),2)</f>
        <v>0</v>
      </c>
      <c r="E10" s="289">
        <f>ROUND(SUMIF(固定资产明细表!$H:$H,E$1&amp;"原值本期减少"&amp;REPLACE($A10,1,3,""),固定资产明细表!$F:$F),2)</f>
        <v>0</v>
      </c>
      <c r="F10" s="289">
        <f t="shared" si="0"/>
        <v>0</v>
      </c>
    </row>
    <row r="11" spans="1:6" ht="14.4">
      <c r="A11" s="527" t="s">
        <v>3762</v>
      </c>
      <c r="B11" s="289">
        <f>ROUND(SUMIF(固定资产明细表!$H:$H,B$1&amp;"原值本期减少"&amp;REPLACE($A11,1,3,""),固定资产明细表!$F:$F),2)</f>
        <v>0</v>
      </c>
      <c r="C11" s="289">
        <f>ROUND(SUMIF(固定资产明细表!$H:$H,C$1&amp;"原值本期减少"&amp;REPLACE($A11,1,3,""),固定资产明细表!$F:$F),2)</f>
        <v>0</v>
      </c>
      <c r="D11" s="289">
        <f>ROUND(SUMIF(固定资产明细表!$H:$H,D$1&amp;"原值本期减少"&amp;REPLACE($A11,1,3,""),固定资产明细表!$F:$F),2)</f>
        <v>0</v>
      </c>
      <c r="E11" s="289">
        <f>ROUND(SUMIF(固定资产明细表!$H:$H,E$1&amp;"原值本期减少"&amp;REPLACE($A11,1,3,""),固定资产明细表!$F:$F),2)</f>
        <v>0</v>
      </c>
      <c r="F11" s="289">
        <f t="shared" si="0"/>
        <v>0</v>
      </c>
    </row>
    <row r="12" spans="1:6" ht="14.4">
      <c r="A12" s="526" t="s">
        <v>427</v>
      </c>
      <c r="B12" s="289">
        <f>ROUND(B3+B4-B9,2)</f>
        <v>0</v>
      </c>
      <c r="C12" s="289">
        <f>ROUND(C3+C4-C9,2)</f>
        <v>0</v>
      </c>
      <c r="D12" s="289">
        <f>ROUND(D3+D4-D9,2)</f>
        <v>0</v>
      </c>
      <c r="E12" s="289">
        <f>ROUND(E3+E4-E9,2)</f>
        <v>0</v>
      </c>
      <c r="F12" s="289">
        <f t="shared" si="0"/>
        <v>0</v>
      </c>
    </row>
    <row r="13" spans="1:6" ht="14.4">
      <c r="A13" s="524" t="s">
        <v>460</v>
      </c>
      <c r="B13" s="289"/>
      <c r="C13" s="289"/>
      <c r="D13" s="289"/>
      <c r="E13" s="289"/>
      <c r="F13" s="289"/>
    </row>
    <row r="14" spans="1:6" ht="14.4">
      <c r="A14" s="526" t="s">
        <v>3077</v>
      </c>
      <c r="B14" s="289">
        <f>ROUND(SUMIF(固定资产明细表!$H:$H,B$1&amp;"累计折旧期初数",固定资产明细表!$F:$F),2)</f>
        <v>0</v>
      </c>
      <c r="C14" s="289">
        <f>ROUND(SUMIF(固定资产明细表!$H:$H,C$1&amp;"累计折旧期初数",固定资产明细表!$F:$F),2)</f>
        <v>0</v>
      </c>
      <c r="D14" s="289">
        <f>ROUND(SUMIF(固定资产明细表!$H:$H,D$1&amp;"累计折旧期初数",固定资产明细表!$F:$F),2)</f>
        <v>0</v>
      </c>
      <c r="E14" s="289">
        <f>ROUND(SUMIF(固定资产明细表!$H:$H,E$1&amp;"累计折旧期初数",固定资产明细表!$F:$F),2)</f>
        <v>0</v>
      </c>
      <c r="F14" s="289">
        <f t="shared" ref="F14:F21" si="1">ROUND(SUM(B14:E14),2)</f>
        <v>0</v>
      </c>
    </row>
    <row r="15" spans="1:6" ht="14.4">
      <c r="A15" s="526" t="s">
        <v>425</v>
      </c>
      <c r="B15" s="289">
        <f>ROUND(SUM(B16:B17),2)</f>
        <v>0</v>
      </c>
      <c r="C15" s="289">
        <f>ROUND(SUM(C16:C17),2)</f>
        <v>0</v>
      </c>
      <c r="D15" s="289">
        <f>ROUND(SUM(D16:D17),2)</f>
        <v>0</v>
      </c>
      <c r="E15" s="289">
        <f>ROUND(SUM(E16:E17),2)</f>
        <v>0</v>
      </c>
      <c r="F15" s="289">
        <f t="shared" si="1"/>
        <v>0</v>
      </c>
    </row>
    <row r="16" spans="1:6" ht="14.4">
      <c r="A16" s="527" t="s">
        <v>3767</v>
      </c>
      <c r="B16" s="289">
        <f>ROUND(SUMIF(固定资产明细表!$H:$H,B$1&amp;"累计折旧本期增加"&amp;REPLACE($A16,1,3,""),固定资产明细表!$F:$F),2)</f>
        <v>0</v>
      </c>
      <c r="C16" s="289">
        <f>ROUND(SUMIF(固定资产明细表!$H:$H,C$1&amp;"累计折旧本期增加"&amp;REPLACE($A16,1,3,""),固定资产明细表!$F:$F),2)</f>
        <v>0</v>
      </c>
      <c r="D16" s="289">
        <f>ROUND(SUMIF(固定资产明细表!$H:$H,D$1&amp;"累计折旧本期增加"&amp;REPLACE($A16,1,3,""),固定资产明细表!$F:$F),2)</f>
        <v>0</v>
      </c>
      <c r="E16" s="289">
        <f>ROUND(SUMIF(固定资产明细表!$H:$H,E$1&amp;"累计折旧本期增加"&amp;REPLACE($A16,1,3,""),固定资产明细表!$F:$F),2)</f>
        <v>0</v>
      </c>
      <c r="F16" s="289">
        <f t="shared" si="1"/>
        <v>0</v>
      </c>
    </row>
    <row r="17" spans="1:6" ht="14.4">
      <c r="A17" s="527" t="s">
        <v>3762</v>
      </c>
      <c r="B17" s="289">
        <f>ROUND(SUMIF(固定资产明细表!$H:$H,B$1&amp;"累计折旧本期增加"&amp;REPLACE($A17,1,3,""),固定资产明细表!$F:$F),2)</f>
        <v>0</v>
      </c>
      <c r="C17" s="289">
        <f>ROUND(SUMIF(固定资产明细表!$H:$H,C$1&amp;"累计折旧本期增加"&amp;REPLACE($A17,1,3,""),固定资产明细表!$F:$F),2)</f>
        <v>0</v>
      </c>
      <c r="D17" s="289">
        <f>ROUND(SUMIF(固定资产明细表!$H:$H,D$1&amp;"累计折旧本期增加"&amp;REPLACE($A17,1,3,""),固定资产明细表!$F:$F),2)</f>
        <v>0</v>
      </c>
      <c r="E17" s="289">
        <f>ROUND(SUMIF(固定资产明细表!$H:$H,E$1&amp;"累计折旧本期增加"&amp;REPLACE($A17,1,3,""),固定资产明细表!$F:$F),2)</f>
        <v>0</v>
      </c>
      <c r="F17" s="289">
        <f t="shared" si="1"/>
        <v>0</v>
      </c>
    </row>
    <row r="18" spans="1:6" ht="14.4">
      <c r="A18" s="526" t="s">
        <v>426</v>
      </c>
      <c r="B18" s="289">
        <f>ROUND(SUM(B19:B20),2)</f>
        <v>0</v>
      </c>
      <c r="C18" s="289">
        <f>ROUND(SUM(C19:C20),2)</f>
        <v>0</v>
      </c>
      <c r="D18" s="289">
        <f>ROUND(SUM(D19:D20),2)</f>
        <v>0</v>
      </c>
      <c r="E18" s="289">
        <f>ROUND(SUM(E19:E20),2)</f>
        <v>0</v>
      </c>
      <c r="F18" s="289">
        <f t="shared" si="1"/>
        <v>0</v>
      </c>
    </row>
    <row r="19" spans="1:6" ht="14.4">
      <c r="A19" s="527" t="s">
        <v>3774</v>
      </c>
      <c r="B19" s="289">
        <f>ROUND(SUMIF(固定资产明细表!$H:$H,B$1&amp;"累计折旧本期减少"&amp;REPLACE($A19,1,3,""),固定资产明细表!$F:$F),2)</f>
        <v>0</v>
      </c>
      <c r="C19" s="289">
        <f>ROUND(SUMIF(固定资产明细表!$H:$H,C$1&amp;"累计折旧本期减少"&amp;REPLACE($A19,1,3,""),固定资产明细表!$F:$F),2)</f>
        <v>0</v>
      </c>
      <c r="D19" s="289">
        <f>ROUND(SUMIF(固定资产明细表!$H:$H,D$1&amp;"累计折旧本期减少"&amp;REPLACE($A19,1,3,""),固定资产明细表!$F:$F),2)</f>
        <v>0</v>
      </c>
      <c r="E19" s="289">
        <f>ROUND(SUMIF(固定资产明细表!$H:$H,E$1&amp;"累计折旧本期减少"&amp;REPLACE($A19,1,3,""),固定资产明细表!$F:$F),2)</f>
        <v>0</v>
      </c>
      <c r="F19" s="289">
        <f t="shared" si="1"/>
        <v>0</v>
      </c>
    </row>
    <row r="20" spans="1:6" ht="14.4">
      <c r="A20" s="527" t="s">
        <v>3762</v>
      </c>
      <c r="B20" s="289">
        <f>ROUND(SUMIF(固定资产明细表!$H:$H,B$1&amp;"累计折旧本期减少"&amp;REPLACE($A20,1,3,""),固定资产明细表!$F:$F),2)</f>
        <v>0</v>
      </c>
      <c r="C20" s="289">
        <f>ROUND(SUMIF(固定资产明细表!$H:$H,C$1&amp;"累计折旧本期减少"&amp;REPLACE($A20,1,3,""),固定资产明细表!$F:$F),2)</f>
        <v>0</v>
      </c>
      <c r="D20" s="289">
        <f>ROUND(SUMIF(固定资产明细表!$H:$H,D$1&amp;"累计折旧本期减少"&amp;REPLACE($A20,1,3,""),固定资产明细表!$F:$F),2)</f>
        <v>0</v>
      </c>
      <c r="E20" s="289">
        <f>ROUND(SUMIF(固定资产明细表!$H:$H,E$1&amp;"累计折旧本期减少"&amp;REPLACE($A20,1,3,""),固定资产明细表!$F:$F),2)</f>
        <v>0</v>
      </c>
      <c r="F20" s="289">
        <f t="shared" si="1"/>
        <v>0</v>
      </c>
    </row>
    <row r="21" spans="1:6" ht="14.4">
      <c r="A21" s="526" t="s">
        <v>427</v>
      </c>
      <c r="B21" s="289">
        <f>ROUND(B14+B15-B18,2)</f>
        <v>0</v>
      </c>
      <c r="C21" s="289">
        <f>ROUND(C14+C15-C18,2)</f>
        <v>0</v>
      </c>
      <c r="D21" s="289">
        <f>ROUND(D14+D15-D18,2)</f>
        <v>0</v>
      </c>
      <c r="E21" s="289">
        <f>ROUND(E14+E15-E18,2)</f>
        <v>0</v>
      </c>
      <c r="F21" s="289">
        <f t="shared" si="1"/>
        <v>0</v>
      </c>
    </row>
    <row r="22" spans="1:6" ht="14.4">
      <c r="A22" s="524" t="s">
        <v>429</v>
      </c>
      <c r="B22" s="289"/>
      <c r="C22" s="289"/>
      <c r="D22" s="289"/>
      <c r="E22" s="289"/>
      <c r="F22" s="289"/>
    </row>
    <row r="23" spans="1:6" ht="14.4">
      <c r="A23" s="526" t="s">
        <v>3077</v>
      </c>
      <c r="B23" s="289">
        <f>ROUND(SUMIF(固定资产明细表!$H:$H,B$1&amp;"减值准备期初数",固定资产明细表!$F:$F),2)</f>
        <v>0</v>
      </c>
      <c r="C23" s="289">
        <f>ROUND(SUMIF(固定资产明细表!$H:$H,C$1&amp;"减值准备期初数",固定资产明细表!$F:$F),2)</f>
        <v>0</v>
      </c>
      <c r="D23" s="289">
        <f>ROUND(SUMIF(固定资产明细表!$H:$H,D$1&amp;"减值准备期初数",固定资产明细表!$F:$F),2)</f>
        <v>0</v>
      </c>
      <c r="E23" s="289">
        <f>ROUND(SUMIF(固定资产明细表!$H:$H,E$1&amp;"减值准备期初数",固定资产明细表!$F:$F),2)</f>
        <v>0</v>
      </c>
      <c r="F23" s="289">
        <f t="shared" ref="F23:F30" si="2">ROUND(SUM(B23:E23),2)</f>
        <v>0</v>
      </c>
    </row>
    <row r="24" spans="1:6" ht="14.4">
      <c r="A24" s="526" t="s">
        <v>425</v>
      </c>
      <c r="B24" s="289">
        <f>ROUND(SUM(B25:B26),2)</f>
        <v>0</v>
      </c>
      <c r="C24" s="289">
        <f>ROUND(SUM(C25:C26),2)</f>
        <v>0</v>
      </c>
      <c r="D24" s="289">
        <f>ROUND(SUM(D25:D26),2)</f>
        <v>0</v>
      </c>
      <c r="E24" s="289">
        <f>ROUND(SUM(E25:E26),2)</f>
        <v>0</v>
      </c>
      <c r="F24" s="289">
        <f t="shared" si="2"/>
        <v>0</v>
      </c>
    </row>
    <row r="25" spans="1:6" ht="14.4">
      <c r="A25" s="527" t="s">
        <v>3779</v>
      </c>
      <c r="B25" s="289">
        <f>ROUND(SUMIF(固定资产明细表!$H:$H,B$1&amp;"减值准备本期增加"&amp;REPLACE($A25,1,3,""),固定资产明细表!$F:$F),2)</f>
        <v>0</v>
      </c>
      <c r="C25" s="289">
        <f>ROUND(SUMIF(固定资产明细表!$H:$H,C$1&amp;"减值准备本期增加"&amp;REPLACE($A25,1,3,""),固定资产明细表!$F:$F),2)</f>
        <v>0</v>
      </c>
      <c r="D25" s="289">
        <f>ROUND(SUMIF(固定资产明细表!$H:$H,D$1&amp;"减值准备本期增加"&amp;REPLACE($A25,1,3,""),固定资产明细表!$F:$F),2)</f>
        <v>0</v>
      </c>
      <c r="E25" s="289">
        <f>ROUND(SUMIF(固定资产明细表!$H:$H,E$1&amp;"减值准备本期增加"&amp;REPLACE($A25,1,3,""),固定资产明细表!$F:$F),2)</f>
        <v>0</v>
      </c>
      <c r="F25" s="289">
        <f t="shared" si="2"/>
        <v>0</v>
      </c>
    </row>
    <row r="26" spans="1:6" ht="14.4">
      <c r="A26" s="527" t="s">
        <v>3762</v>
      </c>
      <c r="B26" s="289">
        <f>ROUND(SUMIF(固定资产明细表!$H:$H,B$1&amp;"减值准备本期增加"&amp;REPLACE($A26,1,3,""),固定资产明细表!$F:$F),2)</f>
        <v>0</v>
      </c>
      <c r="C26" s="289">
        <f>ROUND(SUMIF(固定资产明细表!$H:$H,C$1&amp;"减值准备本期增加"&amp;REPLACE($A26,1,3,""),固定资产明细表!$F:$F),2)</f>
        <v>0</v>
      </c>
      <c r="D26" s="289">
        <f>ROUND(SUMIF(固定资产明细表!$H:$H,D$1&amp;"减值准备本期增加"&amp;REPLACE($A26,1,3,""),固定资产明细表!$F:$F),2)</f>
        <v>0</v>
      </c>
      <c r="E26" s="289">
        <f>ROUND(SUMIF(固定资产明细表!$H:$H,E$1&amp;"减值准备本期增加"&amp;REPLACE($A26,1,3,""),固定资产明细表!$F:$F),2)</f>
        <v>0</v>
      </c>
      <c r="F26" s="289">
        <f t="shared" si="2"/>
        <v>0</v>
      </c>
    </row>
    <row r="27" spans="1:6" ht="14.4">
      <c r="A27" s="526" t="s">
        <v>426</v>
      </c>
      <c r="B27" s="289">
        <f>ROUND(SUM(B28:B29),2)</f>
        <v>0</v>
      </c>
      <c r="C27" s="289">
        <f>ROUND(SUM(C28:C29),2)</f>
        <v>0</v>
      </c>
      <c r="D27" s="289">
        <f>ROUND(SUM(D28:D29),2)</f>
        <v>0</v>
      </c>
      <c r="E27" s="289">
        <f>ROUND(SUM(E28:E29),2)</f>
        <v>0</v>
      </c>
      <c r="F27" s="289">
        <f t="shared" si="2"/>
        <v>0</v>
      </c>
    </row>
    <row r="28" spans="1:6" ht="14.4">
      <c r="A28" s="527" t="s">
        <v>3774</v>
      </c>
      <c r="B28" s="289">
        <f>ROUND(SUMIF(固定资产明细表!$H:$H,B$1&amp;"减值准备本期减少"&amp;REPLACE($A28,1,3,""),固定资产明细表!$F:$F),2)</f>
        <v>0</v>
      </c>
      <c r="C28" s="289">
        <f>ROUND(SUMIF(固定资产明细表!$H:$H,C$1&amp;"减值准备本期减少"&amp;REPLACE($A28,1,3,""),固定资产明细表!$F:$F),2)</f>
        <v>0</v>
      </c>
      <c r="D28" s="289">
        <f>ROUND(SUMIF(固定资产明细表!$H:$H,D$1&amp;"减值准备本期减少"&amp;REPLACE($A28,1,3,""),固定资产明细表!$F:$F),2)</f>
        <v>0</v>
      </c>
      <c r="E28" s="289">
        <f>ROUND(SUMIF(固定资产明细表!$H:$H,E$1&amp;"减值准备本期减少"&amp;REPLACE($A28,1,3,""),固定资产明细表!$F:$F),2)</f>
        <v>0</v>
      </c>
      <c r="F28" s="289">
        <f t="shared" si="2"/>
        <v>0</v>
      </c>
    </row>
    <row r="29" spans="1:6" ht="14.4">
      <c r="A29" s="527" t="s">
        <v>3762</v>
      </c>
      <c r="B29" s="289">
        <f>ROUND(SUMIF(固定资产明细表!$H:$H,B$1&amp;"减值准备本期减少"&amp;REPLACE($A29,1,3,""),固定资产明细表!$F:$F),2)</f>
        <v>0</v>
      </c>
      <c r="C29" s="289">
        <f>ROUND(SUMIF(固定资产明细表!$H:$H,C$1&amp;"减值准备本期减少"&amp;REPLACE($A29,1,3,""),固定资产明细表!$F:$F),2)</f>
        <v>0</v>
      </c>
      <c r="D29" s="289">
        <f>ROUND(SUMIF(固定资产明细表!$H:$H,D$1&amp;"减值准备本期减少"&amp;REPLACE($A29,1,3,""),固定资产明细表!$F:$F),2)</f>
        <v>0</v>
      </c>
      <c r="E29" s="289">
        <f>ROUND(SUMIF(固定资产明细表!$H:$H,E$1&amp;"减值准备本期减少"&amp;REPLACE($A29,1,3,""),固定资产明细表!$F:$F),2)</f>
        <v>0</v>
      </c>
      <c r="F29" s="289">
        <f t="shared" si="2"/>
        <v>0</v>
      </c>
    </row>
    <row r="30" spans="1:6" ht="14.4">
      <c r="A30" s="526" t="s">
        <v>427</v>
      </c>
      <c r="B30" s="289">
        <f>ROUND(B23+B24-B27,2)</f>
        <v>0</v>
      </c>
      <c r="C30" s="289">
        <f>ROUND(C23+C24-C27,2)</f>
        <v>0</v>
      </c>
      <c r="D30" s="289">
        <f>ROUND(D23+D24-D27,2)</f>
        <v>0</v>
      </c>
      <c r="E30" s="289">
        <f>ROUND(E23+E24-E27,2)</f>
        <v>0</v>
      </c>
      <c r="F30" s="289">
        <f t="shared" si="2"/>
        <v>0</v>
      </c>
    </row>
    <row r="31" spans="1:6" ht="14.4">
      <c r="A31" s="524" t="s">
        <v>430</v>
      </c>
      <c r="B31" s="289"/>
      <c r="C31" s="289"/>
      <c r="D31" s="289"/>
      <c r="E31" s="289"/>
      <c r="F31" s="289"/>
    </row>
    <row r="32" spans="1:6" ht="14.4">
      <c r="A32" s="526" t="s">
        <v>431</v>
      </c>
      <c r="B32" s="289">
        <f>ROUND(B12-B21-B30,2)</f>
        <v>0</v>
      </c>
      <c r="C32" s="289">
        <f>ROUND(C12-C21-C30,2)</f>
        <v>0</v>
      </c>
      <c r="D32" s="289">
        <f>ROUND(D12-D21-D30,2)</f>
        <v>0</v>
      </c>
      <c r="E32" s="289">
        <f>ROUND(E12-E21-E30,2)</f>
        <v>0</v>
      </c>
      <c r="F32" s="289">
        <f>ROUND(SUM(B32:E32),2)</f>
        <v>0</v>
      </c>
    </row>
    <row r="33" spans="1:6" ht="14.4">
      <c r="A33" s="526" t="s">
        <v>3078</v>
      </c>
      <c r="B33" s="289">
        <f>ROUND(B3-B14-B23,2)</f>
        <v>0</v>
      </c>
      <c r="C33" s="289">
        <f>ROUND(C3-C14-C23,2)</f>
        <v>0</v>
      </c>
      <c r="D33" s="289">
        <f>ROUND(D3-D14-D23,2)</f>
        <v>0</v>
      </c>
      <c r="E33" s="289">
        <f>ROUND(E3-E14-E23,2)</f>
        <v>0</v>
      </c>
      <c r="F33" s="289">
        <f>ROUND(SUM(B33:E33),2)</f>
        <v>0</v>
      </c>
    </row>
    <row r="34" spans="1:6" ht="14.4">
      <c r="A34" s="294"/>
      <c r="B34" s="298"/>
      <c r="C34" s="298"/>
      <c r="D34" s="298"/>
      <c r="E34" s="298"/>
      <c r="F34" s="29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分类表!$25:$25</xm:f>
          </x14:formula1>
          <xm:sqref>B1:E1</xm:sqref>
        </x14:dataValidation>
      </x14:dataValidations>
    </ext>
  </extLst>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sheetPr codeName="Sheet203"/>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G23" sqref="G23"/>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1976</v>
      </c>
      <c r="B1" s="311" t="s">
        <v>1977</v>
      </c>
      <c r="C1" s="261" t="s">
        <v>2443</v>
      </c>
      <c r="D1" s="261" t="s">
        <v>2475</v>
      </c>
      <c r="E1" s="261" t="s">
        <v>2476</v>
      </c>
      <c r="F1" s="261" t="s">
        <v>2478</v>
      </c>
      <c r="G1" s="261" t="s">
        <v>2480</v>
      </c>
      <c r="H1" s="263" t="s">
        <v>2481</v>
      </c>
      <c r="I1" s="261" t="s">
        <v>3385</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E44" s="276"/>
      <c r="G44" t="str">
        <f t="shared" si="0"/>
        <v/>
      </c>
      <c r="I44" t="str">
        <f t="shared" si="2"/>
        <v/>
      </c>
    </row>
    <row r="45" spans="1:9">
      <c r="A45" s="229" t="str">
        <f>IF(F45&gt;0,基础信息!$B$1,"")</f>
        <v/>
      </c>
      <c r="E45" s="276"/>
      <c r="G45" t="str">
        <f t="shared" si="0"/>
        <v/>
      </c>
      <c r="I45" t="str">
        <f t="shared" si="2"/>
        <v/>
      </c>
    </row>
    <row r="46" spans="1:9">
      <c r="A46" s="229" t="str">
        <f>IF(F46&gt;0,基础信息!$B$1,"")</f>
        <v/>
      </c>
      <c r="E46" s="276"/>
      <c r="G46" t="str">
        <f t="shared" si="0"/>
        <v/>
      </c>
      <c r="I46" t="str">
        <f t="shared" si="2"/>
        <v/>
      </c>
    </row>
    <row r="47" spans="1:9">
      <c r="A47" s="229" t="str">
        <f>IF(F47&gt;0,基础信息!$B$1,"")</f>
        <v/>
      </c>
      <c r="E47" s="276"/>
      <c r="G47" t="str">
        <f t="shared" si="0"/>
        <v/>
      </c>
      <c r="I47" t="str">
        <f t="shared" si="2"/>
        <v/>
      </c>
    </row>
    <row r="48" spans="1:9">
      <c r="A48" s="229" t="str">
        <f>IF(F48&gt;0,基础信息!$B$1,"")</f>
        <v/>
      </c>
      <c r="E48" s="276"/>
      <c r="G48" t="str">
        <f t="shared" si="0"/>
        <v/>
      </c>
      <c r="I48" t="str">
        <f t="shared" si="2"/>
        <v/>
      </c>
    </row>
    <row r="49" spans="1:9">
      <c r="A49" s="229" t="str">
        <f>IF(F49&gt;0,基础信息!$B$1,"")</f>
        <v/>
      </c>
      <c r="E49" s="276"/>
      <c r="G49" t="str">
        <f t="shared" si="0"/>
        <v/>
      </c>
      <c r="I49" t="str">
        <f t="shared" si="2"/>
        <v/>
      </c>
    </row>
    <row r="50" spans="1:9">
      <c r="A50" s="229" t="str">
        <f>IF(F50&gt;0,基础信息!$B$1,"")</f>
        <v/>
      </c>
      <c r="E50" s="276"/>
      <c r="G50" t="str">
        <f t="shared" si="0"/>
        <v/>
      </c>
      <c r="I50" t="str">
        <f t="shared" si="2"/>
        <v/>
      </c>
    </row>
    <row r="51" spans="1:9">
      <c r="A51" s="229" t="str">
        <f>IF(F51&gt;0,基础信息!$B$1,"")</f>
        <v/>
      </c>
      <c r="E51" s="276"/>
      <c r="G51" t="str">
        <f t="shared" si="0"/>
        <v/>
      </c>
      <c r="I51" t="str">
        <f t="shared" si="2"/>
        <v/>
      </c>
    </row>
    <row r="52" spans="1:9">
      <c r="A52" s="229" t="str">
        <f>IF(F52&gt;0,基础信息!$B$1,"")</f>
        <v/>
      </c>
      <c r="E52" s="276"/>
      <c r="G52" t="str">
        <f t="shared" si="0"/>
        <v/>
      </c>
      <c r="I52" t="str">
        <f t="shared" si="2"/>
        <v/>
      </c>
    </row>
    <row r="53" spans="1:9">
      <c r="A53" s="229" t="str">
        <f>IF(F53&gt;0,基础信息!$B$1,"")</f>
        <v/>
      </c>
      <c r="E53" s="276"/>
      <c r="G53" t="str">
        <f t="shared" si="0"/>
        <v/>
      </c>
      <c r="I53" t="str">
        <f t="shared" si="2"/>
        <v/>
      </c>
    </row>
    <row r="54" spans="1:9">
      <c r="A54" s="229" t="str">
        <f>IF(F54&gt;0,基础信息!$B$1,"")</f>
        <v/>
      </c>
      <c r="E54" s="276"/>
      <c r="G54" t="str">
        <f t="shared" si="0"/>
        <v/>
      </c>
      <c r="I54" t="str">
        <f t="shared" si="2"/>
        <v/>
      </c>
    </row>
    <row r="55" spans="1:9">
      <c r="A55" s="229" t="str">
        <f>IF(F55&gt;0,基础信息!$B$1,"")</f>
        <v/>
      </c>
      <c r="E55" s="276"/>
      <c r="G55" t="str">
        <f t="shared" si="0"/>
        <v/>
      </c>
      <c r="I55" t="str">
        <f t="shared" si="2"/>
        <v/>
      </c>
    </row>
    <row r="56" spans="1:9">
      <c r="A56" s="229" t="str">
        <f>IF(F56&gt;0,基础信息!$B$1,"")</f>
        <v/>
      </c>
      <c r="E56" s="276"/>
      <c r="G56" t="str">
        <f t="shared" si="0"/>
        <v/>
      </c>
      <c r="I56" t="str">
        <f t="shared" si="2"/>
        <v/>
      </c>
    </row>
    <row r="57" spans="1:9">
      <c r="A57" s="229" t="str">
        <f>IF(F57&gt;0,基础信息!$B$1,"")</f>
        <v/>
      </c>
      <c r="E57" s="276"/>
      <c r="G57" t="str">
        <f t="shared" si="0"/>
        <v/>
      </c>
      <c r="I57" t="str">
        <f t="shared" si="2"/>
        <v/>
      </c>
    </row>
    <row r="58" spans="1:9">
      <c r="A58" s="229" t="str">
        <f>IF(F58&gt;0,基础信息!$B$1,"")</f>
        <v/>
      </c>
      <c r="E58" s="276"/>
      <c r="G58" t="str">
        <f t="shared" si="0"/>
        <v/>
      </c>
      <c r="I58" t="str">
        <f t="shared" si="2"/>
        <v/>
      </c>
    </row>
    <row r="59" spans="1:9">
      <c r="A59" s="229" t="str">
        <f>IF(F59&gt;0,基础信息!$B$1,"")</f>
        <v/>
      </c>
      <c r="E59" s="276"/>
      <c r="G59" t="str">
        <f t="shared" si="0"/>
        <v/>
      </c>
      <c r="I59" t="str">
        <f t="shared" si="2"/>
        <v/>
      </c>
    </row>
    <row r="60" spans="1:9">
      <c r="A60" s="229" t="str">
        <f>IF(F60&gt;0,基础信息!$B$1,"")</f>
        <v/>
      </c>
      <c r="E60" s="276"/>
      <c r="G60" t="str">
        <f t="shared" si="0"/>
        <v/>
      </c>
      <c r="I60" t="str">
        <f t="shared" si="2"/>
        <v/>
      </c>
    </row>
    <row r="61" spans="1:9">
      <c r="A61" s="229" t="str">
        <f>IF(F61&gt;0,基础信息!$B$1,"")</f>
        <v/>
      </c>
      <c r="E61" s="276"/>
      <c r="G61" t="str">
        <f t="shared" si="0"/>
        <v/>
      </c>
      <c r="I61" t="str">
        <f t="shared" si="2"/>
        <v/>
      </c>
    </row>
    <row r="62" spans="1:9">
      <c r="A62" s="229" t="str">
        <f>IF(F62&gt;0,基础信息!$B$1,"")</f>
        <v/>
      </c>
      <c r="E62" s="276"/>
      <c r="G62" t="str">
        <f t="shared" si="0"/>
        <v/>
      </c>
      <c r="I62" t="str">
        <f t="shared" si="2"/>
        <v/>
      </c>
    </row>
    <row r="63" spans="1:9">
      <c r="A63" s="229" t="str">
        <f>IF(F63&gt;0,基础信息!$B$1,"")</f>
        <v/>
      </c>
      <c r="E63" s="276"/>
      <c r="G63" t="str">
        <f t="shared" si="0"/>
        <v/>
      </c>
      <c r="I63" t="str">
        <f t="shared" si="2"/>
        <v/>
      </c>
    </row>
    <row r="64" spans="1:9">
      <c r="A64" s="229" t="str">
        <f>IF(F64&gt;0,基础信息!$B$1,"")</f>
        <v/>
      </c>
      <c r="E64" s="276"/>
      <c r="G64" t="str">
        <f t="shared" si="0"/>
        <v/>
      </c>
      <c r="I64" t="str">
        <f t="shared" si="2"/>
        <v/>
      </c>
    </row>
    <row r="65" spans="1:9">
      <c r="A65" s="229" t="str">
        <f>IF(F65&gt;0,基础信息!$B$1,"")</f>
        <v/>
      </c>
      <c r="E65" s="276"/>
      <c r="G65" t="str">
        <f t="shared" si="0"/>
        <v/>
      </c>
      <c r="I65" t="str">
        <f t="shared" si="2"/>
        <v/>
      </c>
    </row>
    <row r="66" spans="1:9">
      <c r="A66" s="229" t="str">
        <f>IF(F66&gt;0,基础信息!$B$1,"")</f>
        <v/>
      </c>
      <c r="E66" s="276"/>
      <c r="G66" t="str">
        <f t="shared" si="0"/>
        <v/>
      </c>
      <c r="I66" t="str">
        <f t="shared" si="2"/>
        <v/>
      </c>
    </row>
    <row r="67" spans="1:9">
      <c r="A67" s="229" t="str">
        <f>IF(F67&gt;0,基础信息!$B$1,"")</f>
        <v/>
      </c>
      <c r="E67" s="276"/>
      <c r="G67" t="str">
        <f t="shared" ref="G67:G88" si="3">B67&amp;C67&amp;D67</f>
        <v/>
      </c>
      <c r="I67" t="str">
        <f t="shared" ref="I67:I119" si="4">C67&amp;D67&amp;E67</f>
        <v/>
      </c>
    </row>
    <row r="68" spans="1:9">
      <c r="A68" s="229" t="str">
        <f>IF(F68&gt;0,基础信息!$B$1,"")</f>
        <v/>
      </c>
      <c r="E68" s="276"/>
      <c r="G68" t="str">
        <f t="shared" si="3"/>
        <v/>
      </c>
      <c r="I68" t="str">
        <f t="shared" si="4"/>
        <v/>
      </c>
    </row>
    <row r="69" spans="1:9">
      <c r="A69" s="229" t="str">
        <f>IF(F69&gt;0,基础信息!$B$1,"")</f>
        <v/>
      </c>
      <c r="E69" s="276"/>
      <c r="G69" t="str">
        <f t="shared" si="3"/>
        <v/>
      </c>
      <c r="I69" t="str">
        <f t="shared" si="4"/>
        <v/>
      </c>
    </row>
    <row r="70" spans="1:9">
      <c r="A70" s="229" t="str">
        <f>IF(F70&gt;0,基础信息!$B$1,"")</f>
        <v/>
      </c>
      <c r="E70" s="276"/>
      <c r="G70" t="str">
        <f t="shared" si="3"/>
        <v/>
      </c>
      <c r="I70" t="str">
        <f t="shared" si="4"/>
        <v/>
      </c>
    </row>
    <row r="71" spans="1:9">
      <c r="A71" s="229" t="str">
        <f>IF(F71&gt;0,基础信息!$B$1,"")</f>
        <v/>
      </c>
      <c r="E71" s="276"/>
      <c r="G71" t="str">
        <f t="shared" si="3"/>
        <v/>
      </c>
      <c r="I71" t="str">
        <f t="shared" si="4"/>
        <v/>
      </c>
    </row>
    <row r="72" spans="1:9">
      <c r="A72" s="229" t="str">
        <f>IF(F72&gt;0,基础信息!$B$1,"")</f>
        <v/>
      </c>
      <c r="E72" s="276"/>
      <c r="G72" t="str">
        <f t="shared" si="3"/>
        <v/>
      </c>
      <c r="I72" t="str">
        <f t="shared" si="4"/>
        <v/>
      </c>
    </row>
    <row r="73" spans="1:9">
      <c r="A73" s="229" t="str">
        <f>IF(F73&gt;0,基础信息!$B$1,"")</f>
        <v/>
      </c>
      <c r="E73" s="276"/>
      <c r="G73" t="str">
        <f t="shared" si="3"/>
        <v/>
      </c>
      <c r="I73" t="str">
        <f t="shared" si="4"/>
        <v/>
      </c>
    </row>
    <row r="74" spans="1:9">
      <c r="A74" s="229" t="str">
        <f>IF(F74&gt;0,基础信息!$B$1,"")</f>
        <v/>
      </c>
      <c r="E74" s="276"/>
      <c r="G74" t="str">
        <f t="shared" si="3"/>
        <v/>
      </c>
      <c r="I74" t="str">
        <f t="shared" si="4"/>
        <v/>
      </c>
    </row>
    <row r="75" spans="1:9">
      <c r="A75" s="229" t="str">
        <f>IF(F75&gt;0,基础信息!$B$1,"")</f>
        <v/>
      </c>
      <c r="E75" s="276"/>
      <c r="G75" t="str">
        <f t="shared" si="3"/>
        <v/>
      </c>
      <c r="I75" t="str">
        <f t="shared" si="4"/>
        <v/>
      </c>
    </row>
    <row r="76" spans="1:9">
      <c r="A76" s="229" t="str">
        <f>IF(F76&gt;0,基础信息!$B$1,"")</f>
        <v/>
      </c>
      <c r="E76" s="276"/>
      <c r="G76" t="str">
        <f t="shared" si="3"/>
        <v/>
      </c>
      <c r="I76" t="str">
        <f t="shared" si="4"/>
        <v/>
      </c>
    </row>
    <row r="77" spans="1:9">
      <c r="A77" s="229" t="str">
        <f>IF(F77&gt;0,基础信息!$B$1,"")</f>
        <v/>
      </c>
      <c r="E77" s="276"/>
      <c r="G77" t="str">
        <f t="shared" si="3"/>
        <v/>
      </c>
      <c r="I77" t="str">
        <f t="shared" si="4"/>
        <v/>
      </c>
    </row>
    <row r="78" spans="1:9">
      <c r="A78" s="229" t="str">
        <f>IF(F78&gt;0,基础信息!$B$1,"")</f>
        <v/>
      </c>
      <c r="E78" s="276"/>
      <c r="G78" t="str">
        <f t="shared" si="3"/>
        <v/>
      </c>
      <c r="I78" t="str">
        <f t="shared" si="4"/>
        <v/>
      </c>
    </row>
    <row r="79" spans="1:9">
      <c r="A79" s="229" t="str">
        <f>IF(F79&gt;0,基础信息!$B$1,"")</f>
        <v/>
      </c>
      <c r="E79" s="276"/>
      <c r="G79" t="str">
        <f t="shared" si="3"/>
        <v/>
      </c>
      <c r="I79" t="str">
        <f t="shared" si="4"/>
        <v/>
      </c>
    </row>
    <row r="80" spans="1:9">
      <c r="A80" s="229" t="str">
        <f>IF(F80&gt;0,基础信息!$B$1,"")</f>
        <v/>
      </c>
      <c r="E80" s="276"/>
      <c r="G80" t="str">
        <f t="shared" si="3"/>
        <v/>
      </c>
      <c r="I80" t="str">
        <f t="shared" si="4"/>
        <v/>
      </c>
    </row>
    <row r="81" spans="1:9">
      <c r="A81" s="229" t="str">
        <f>IF(F81&gt;0,基础信息!$B$1,"")</f>
        <v/>
      </c>
      <c r="E81" s="276"/>
      <c r="G81" t="str">
        <f t="shared" si="3"/>
        <v/>
      </c>
      <c r="I81" t="str">
        <f t="shared" si="4"/>
        <v/>
      </c>
    </row>
    <row r="82" spans="1:9">
      <c r="A82" s="229" t="str">
        <f>IF(F82&gt;0,基础信息!$B$1,"")</f>
        <v/>
      </c>
      <c r="E82" s="276"/>
      <c r="G82" t="str">
        <f t="shared" si="3"/>
        <v/>
      </c>
      <c r="I82" t="str">
        <f t="shared" si="4"/>
        <v/>
      </c>
    </row>
    <row r="83" spans="1:9">
      <c r="A83" s="229" t="str">
        <f>IF(F83&gt;0,基础信息!$B$1,"")</f>
        <v/>
      </c>
      <c r="E83" s="276"/>
      <c r="G83" t="str">
        <f t="shared" si="3"/>
        <v/>
      </c>
      <c r="I83" t="str">
        <f t="shared" si="4"/>
        <v/>
      </c>
    </row>
    <row r="84" spans="1:9">
      <c r="A84" s="229" t="str">
        <f>IF(F84&gt;0,基础信息!$B$1,"")</f>
        <v/>
      </c>
      <c r="E84" s="276"/>
      <c r="G84" t="str">
        <f t="shared" si="3"/>
        <v/>
      </c>
      <c r="I84" t="str">
        <f t="shared" si="4"/>
        <v/>
      </c>
    </row>
    <row r="85" spans="1:9">
      <c r="A85" s="229" t="str">
        <f>IF(F85&gt;0,基础信息!$B$1,"")</f>
        <v/>
      </c>
      <c r="E85" s="276"/>
      <c r="G85" t="str">
        <f t="shared" si="3"/>
        <v/>
      </c>
      <c r="I85" t="str">
        <f t="shared" si="4"/>
        <v/>
      </c>
    </row>
    <row r="86" spans="1:9">
      <c r="A86" s="229" t="str">
        <f>IF(F86&gt;0,基础信息!$B$1,"")</f>
        <v/>
      </c>
      <c r="E86" s="276"/>
      <c r="G86" t="str">
        <f t="shared" si="3"/>
        <v/>
      </c>
      <c r="I86" t="str">
        <f t="shared" si="4"/>
        <v/>
      </c>
    </row>
    <row r="87" spans="1:9">
      <c r="A87" s="229" t="str">
        <f>IF(F87&gt;0,基础信息!$B$1,"")</f>
        <v/>
      </c>
      <c r="E87" s="276"/>
      <c r="G87" t="str">
        <f t="shared" si="3"/>
        <v/>
      </c>
      <c r="I87" t="str">
        <f t="shared" si="4"/>
        <v/>
      </c>
    </row>
    <row r="88" spans="1:9">
      <c r="A88" s="229" t="str">
        <f>IF(F88&gt;0,基础信息!$B$1,"")</f>
        <v/>
      </c>
      <c r="E88" s="276"/>
      <c r="G88" t="str">
        <f t="shared" si="3"/>
        <v/>
      </c>
      <c r="I88" t="str">
        <f t="shared" si="4"/>
        <v/>
      </c>
    </row>
    <row r="89" spans="1:9">
      <c r="A89" s="229" t="str">
        <f>IF(F89&gt;0,基础信息!$B$1,"")</f>
        <v/>
      </c>
      <c r="E89" s="276"/>
      <c r="I89" t="str">
        <f t="shared" si="4"/>
        <v/>
      </c>
    </row>
    <row r="90" spans="1:9">
      <c r="A90" s="229" t="str">
        <f>IF(F90&gt;0,基础信息!$B$1,"")</f>
        <v/>
      </c>
      <c r="E90" s="276"/>
      <c r="I90" t="str">
        <f t="shared" si="4"/>
        <v/>
      </c>
    </row>
    <row r="91" spans="1:9">
      <c r="A91" s="229" t="str">
        <f>IF(F91&gt;0,基础信息!$B$1,"")</f>
        <v/>
      </c>
      <c r="E91" s="276"/>
      <c r="I91" t="str">
        <f t="shared" si="4"/>
        <v/>
      </c>
    </row>
    <row r="92" spans="1:9">
      <c r="A92" s="229" t="str">
        <f>IF(F92&gt;0,基础信息!$B$1,"")</f>
        <v/>
      </c>
      <c r="E92" s="276"/>
      <c r="I92" t="str">
        <f t="shared" si="4"/>
        <v/>
      </c>
    </row>
    <row r="93" spans="1:9">
      <c r="A93" s="229" t="str">
        <f>IF(F93&gt;0,基础信息!$B$1,"")</f>
        <v/>
      </c>
      <c r="E93" s="276"/>
      <c r="I93" t="str">
        <f t="shared" si="4"/>
        <v/>
      </c>
    </row>
    <row r="94" spans="1:9">
      <c r="A94" s="229" t="str">
        <f>IF(F94&gt;0,基础信息!$B$1,"")</f>
        <v/>
      </c>
      <c r="E94" s="276"/>
      <c r="I94" t="str">
        <f t="shared" si="4"/>
        <v/>
      </c>
    </row>
    <row r="95" spans="1:9">
      <c r="A95" s="229" t="str">
        <f>IF(F95&gt;0,基础信息!$B$1,"")</f>
        <v/>
      </c>
      <c r="E95" s="276"/>
      <c r="I95" t="str">
        <f t="shared" si="4"/>
        <v/>
      </c>
    </row>
    <row r="96" spans="1:9">
      <c r="A96" s="229" t="str">
        <f>IF(F96&gt;0,基础信息!$B$1,"")</f>
        <v/>
      </c>
      <c r="E96" s="276"/>
      <c r="I96" t="str">
        <f t="shared" si="4"/>
        <v/>
      </c>
    </row>
    <row r="97" spans="1:9">
      <c r="A97" s="229" t="str">
        <f>IF(F97&gt;0,基础信息!$B$1,"")</f>
        <v/>
      </c>
      <c r="E97" s="276"/>
      <c r="I97" t="str">
        <f t="shared" si="4"/>
        <v/>
      </c>
    </row>
    <row r="98" spans="1:9">
      <c r="A98" s="229" t="str">
        <f>IF(F98&gt;0,基础信息!$B$1,"")</f>
        <v/>
      </c>
      <c r="E98" s="276"/>
      <c r="I98" t="str">
        <f t="shared" si="4"/>
        <v/>
      </c>
    </row>
    <row r="99" spans="1:9">
      <c r="A99" s="229" t="str">
        <f>IF(F99&gt;0,基础信息!$B$1,"")</f>
        <v/>
      </c>
      <c r="E99" s="276"/>
      <c r="I99" t="str">
        <f t="shared" si="4"/>
        <v/>
      </c>
    </row>
    <row r="100" spans="1:9">
      <c r="A100" s="229" t="str">
        <f>IF(F100&gt;0,基础信息!$B$1,"")</f>
        <v/>
      </c>
      <c r="E100" s="276"/>
      <c r="I100" t="str">
        <f t="shared" si="4"/>
        <v/>
      </c>
    </row>
    <row r="101" spans="1:9">
      <c r="A101" s="229" t="str">
        <f>IF(F101&gt;0,基础信息!$B$1,"")</f>
        <v/>
      </c>
      <c r="E101" s="276"/>
      <c r="I101" t="str">
        <f t="shared" si="4"/>
        <v/>
      </c>
    </row>
    <row r="102" spans="1:9">
      <c r="A102" s="229" t="str">
        <f>IF(F102&gt;0,基础信息!$B$1,"")</f>
        <v/>
      </c>
      <c r="E102" s="276"/>
      <c r="I102" t="str">
        <f t="shared" si="4"/>
        <v/>
      </c>
    </row>
    <row r="103" spans="1:9">
      <c r="A103" s="229" t="str">
        <f>IF(F103&gt;0,基础信息!$B$1,"")</f>
        <v/>
      </c>
      <c r="E103" s="276"/>
      <c r="I103" t="str">
        <f t="shared" si="4"/>
        <v/>
      </c>
    </row>
    <row r="104" spans="1:9">
      <c r="A104" s="229" t="str">
        <f>IF(F104&gt;0,基础信息!$B$1,"")</f>
        <v/>
      </c>
      <c r="E104" s="276"/>
      <c r="I104" t="str">
        <f t="shared" si="4"/>
        <v/>
      </c>
    </row>
    <row r="105" spans="1:9">
      <c r="A105" s="229" t="str">
        <f>IF(F105&gt;0,基础信息!$B$1,"")</f>
        <v/>
      </c>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分类表!$74:$74</xm:f>
          </x14:formula1>
          <xm:sqref>E75:E109</xm:sqref>
        </x14:dataValidation>
        <x14:dataValidation type="list" allowBlank="1" showInputMessage="1" showErrorMessage="1" xr:uid="{6BF4305B-3D86-45D4-BC77-F762F12D2C1E}">
          <x14:formula1>
            <xm:f>分类表!$24:$24</xm:f>
          </x14:formula1>
          <xm:sqref>C2:C30</xm:sqref>
        </x14:dataValidation>
        <x14:dataValidation type="list" allowBlank="1" showInputMessage="1" showErrorMessage="1" xr:uid="{9D9C9757-9C4E-459D-B727-F1B188F79735}">
          <x14:formula1>
            <xm:f>分类表!$73:$73</xm:f>
          </x14:formula1>
          <xm:sqref>D2:D34</xm:sqref>
        </x14:dataValidation>
        <x14:dataValidation type="list" allowBlank="1" showInputMessage="1" showErrorMessage="1" xr:uid="{6C915CB0-79C8-4EA7-9A05-A1AE23E7C0EB}">
          <x14:formula1>
            <xm:f>分类表!$22:$22</xm:f>
          </x14:formula1>
          <xm:sqref>C15:C23</xm:sqref>
        </x14:dataValidation>
        <x14:dataValidation type="list" allowBlank="1" showInputMessage="1" showErrorMessage="1" xr:uid="{73CFD735-E0AD-40FD-B09E-6022939687AB}">
          <x14:formula1>
            <xm:f>分类表!$25:$25</xm:f>
          </x14:formula1>
          <xm:sqref>B2:B43</xm:sqref>
        </x14:dataValidation>
        <x14:dataValidation type="list" allowBlank="1" showInputMessage="1" showErrorMessage="1" xr:uid="{145A76CF-5CD9-4256-B03A-98F9F2B77E3F}">
          <x14:formula1>
            <xm:f>分类表!$75:$75</xm:f>
          </x14:formula1>
          <xm:sqref>E2:E74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5FD5-4272-4C41-A23A-1870E35DB3EE}">
  <sheetPr codeName="Sheet18"/>
  <dimension ref="A1:M390"/>
  <sheetViews>
    <sheetView topLeftCell="A363" workbookViewId="0">
      <selection activeCell="O382" sqref="O382"/>
    </sheetView>
  </sheetViews>
  <sheetFormatPr defaultRowHeight="13.8"/>
  <cols>
    <col min="1" max="1" width="90.6640625" bestFit="1" customWidth="1"/>
    <col min="2" max="2" width="5.5546875" bestFit="1" customWidth="1"/>
    <col min="3" max="3" width="40.5546875" hidden="1" customWidth="1"/>
    <col min="4" max="4" width="9.5546875" hidden="1" customWidth="1"/>
    <col min="5" max="5" width="5.5546875" hidden="1" customWidth="1"/>
    <col min="6" max="10" width="2.6640625" hidden="1" customWidth="1"/>
    <col min="11" max="11" width="18.5546875" style="229" bestFit="1" customWidth="1"/>
  </cols>
  <sheetData>
    <row r="1" spans="1:11">
      <c r="A1" t="s">
        <v>95</v>
      </c>
      <c r="B1" t="s">
        <v>438</v>
      </c>
      <c r="C1" t="s">
        <v>785</v>
      </c>
      <c r="D1" t="s">
        <v>786</v>
      </c>
      <c r="E1" t="s">
        <v>2478</v>
      </c>
      <c r="K1" s="229" t="s">
        <v>2478</v>
      </c>
    </row>
    <row r="2" spans="1:11">
      <c r="A2" t="s">
        <v>768</v>
      </c>
      <c r="B2" t="s">
        <v>4307</v>
      </c>
      <c r="C2" t="s">
        <v>4308</v>
      </c>
      <c r="D2" t="str">
        <f>_xlfn.IFNA(VLOOKUP(C2,[2]科目余额表!C:D,2,0),"")</f>
        <v/>
      </c>
      <c r="K2" s="288">
        <f>本期TB!H172</f>
        <v>0</v>
      </c>
    </row>
    <row r="3" spans="1:11">
      <c r="A3" t="s">
        <v>769</v>
      </c>
      <c r="B3" t="s">
        <v>4307</v>
      </c>
      <c r="C3" t="s">
        <v>4309</v>
      </c>
      <c r="D3" t="str">
        <f>_xlfn.IFNA(VLOOKUP(C3,[2]科目余额表!C:D,2,0),"")</f>
        <v/>
      </c>
      <c r="K3" s="288">
        <f>本期TB!H173</f>
        <v>0</v>
      </c>
    </row>
    <row r="4" spans="1:11">
      <c r="A4" t="s">
        <v>4310</v>
      </c>
      <c r="B4" t="s">
        <v>4307</v>
      </c>
      <c r="C4" t="s">
        <v>4311</v>
      </c>
      <c r="D4" t="str">
        <f>_xlfn.IFNA(VLOOKUP(C4,[2]科目余额表!C:D,2,0),"")</f>
        <v/>
      </c>
    </row>
    <row r="5" spans="1:11">
      <c r="A5" t="s">
        <v>4310</v>
      </c>
      <c r="B5" t="s">
        <v>4307</v>
      </c>
      <c r="C5" t="s">
        <v>4312</v>
      </c>
      <c r="D5" t="str">
        <f>_xlfn.IFNA(VLOOKUP(C5,[2]科目余额表!C:D,2,0),"")</f>
        <v/>
      </c>
    </row>
    <row r="6" spans="1:11">
      <c r="A6" t="s">
        <v>4313</v>
      </c>
      <c r="B6" t="s">
        <v>4314</v>
      </c>
      <c r="D6" t="str">
        <f>_xlfn.IFNA(VLOOKUP(C6,[2]科目余额表!C:D,2,0),"")</f>
        <v/>
      </c>
    </row>
    <row r="7" spans="1:11">
      <c r="A7" t="s">
        <v>4315</v>
      </c>
      <c r="B7" t="s">
        <v>4316</v>
      </c>
      <c r="D7" t="str">
        <f>_xlfn.IFNA(VLOOKUP(C7,[2]科目余额表!C:D,2,0),"")</f>
        <v/>
      </c>
    </row>
    <row r="8" spans="1:11">
      <c r="A8" t="s">
        <v>4317</v>
      </c>
      <c r="B8" t="s">
        <v>4316</v>
      </c>
      <c r="C8" t="s">
        <v>4318</v>
      </c>
      <c r="D8" t="str">
        <f>_xlfn.IFNA(VLOOKUP(C8,[2]科目余额表!C:D,2,0),"")</f>
        <v/>
      </c>
    </row>
    <row r="9" spans="1:11">
      <c r="A9" t="s">
        <v>4319</v>
      </c>
      <c r="B9" t="s">
        <v>4314</v>
      </c>
      <c r="C9" t="s">
        <v>4318</v>
      </c>
      <c r="D9" t="str">
        <f>_xlfn.IFNA(VLOOKUP(C9,[2]科目余额表!C:D,2,0),"")</f>
        <v/>
      </c>
    </row>
    <row r="10" spans="1:11">
      <c r="A10" t="s">
        <v>4320</v>
      </c>
      <c r="B10" t="s">
        <v>4307</v>
      </c>
      <c r="D10" t="str">
        <f>_xlfn.IFNA(VLOOKUP(C10,[2]科目余额表!C:D,2,0),"")</f>
        <v/>
      </c>
      <c r="K10" s="288">
        <f>应交增值税计提!B3</f>
        <v>0</v>
      </c>
    </row>
    <row r="11" spans="1:11">
      <c r="A11" t="s">
        <v>4321</v>
      </c>
      <c r="D11" t="str">
        <f>_xlfn.IFNA(VLOOKUP(C11,[2]科目余额表!C:D,2,0),"")</f>
        <v/>
      </c>
    </row>
    <row r="12" spans="1:11">
      <c r="A12" t="s">
        <v>4322</v>
      </c>
      <c r="B12" t="s">
        <v>4316</v>
      </c>
      <c r="D12" t="str">
        <f>_xlfn.IFNA(VLOOKUP(C12,[2]科目余额表!C:D,2,0),"")</f>
        <v/>
      </c>
      <c r="K12" s="288">
        <f>上期TB!H12</f>
        <v>0</v>
      </c>
    </row>
    <row r="13" spans="1:11">
      <c r="A13" t="s">
        <v>4323</v>
      </c>
      <c r="B13" t="s">
        <v>4314</v>
      </c>
      <c r="D13" t="str">
        <f>_xlfn.IFNA(VLOOKUP(C13,[2]科目余额表!C:D,2,0),"")</f>
        <v/>
      </c>
      <c r="K13" s="288">
        <f>-本期TB!H12</f>
        <v>0</v>
      </c>
    </row>
    <row r="14" spans="1:11">
      <c r="A14" t="s">
        <v>4324</v>
      </c>
      <c r="B14" t="s">
        <v>4316</v>
      </c>
      <c r="C14" t="s">
        <v>4325</v>
      </c>
      <c r="D14" t="str">
        <f>_xlfn.IFNA(VLOOKUP(C14,[2]科目余额表!C:D,2,0),"")</f>
        <v/>
      </c>
      <c r="K14" s="288">
        <f>上期TB!H15</f>
        <v>0</v>
      </c>
    </row>
    <row r="15" spans="1:11">
      <c r="A15" t="s">
        <v>4326</v>
      </c>
      <c r="B15" t="s">
        <v>4314</v>
      </c>
      <c r="C15" t="s">
        <v>4325</v>
      </c>
      <c r="D15" t="str">
        <f>_xlfn.IFNA(VLOOKUP(C15,[2]科目余额表!C:D,2,0),"")</f>
        <v/>
      </c>
      <c r="K15" s="288">
        <f>-本期TB!H15</f>
        <v>0</v>
      </c>
    </row>
    <row r="16" spans="1:11">
      <c r="A16" t="s">
        <v>4327</v>
      </c>
      <c r="B16" t="s">
        <v>4314</v>
      </c>
      <c r="C16" t="s">
        <v>4328</v>
      </c>
      <c r="D16" t="str">
        <f>_xlfn.IFNA(VLOOKUP(C16,[2]科目余额表!C:D,2,0),"")</f>
        <v/>
      </c>
      <c r="K16" s="288">
        <f>本期TB!H119</f>
        <v>0</v>
      </c>
    </row>
    <row r="17" spans="1:13">
      <c r="A17" t="s">
        <v>4329</v>
      </c>
      <c r="B17" t="s">
        <v>4316</v>
      </c>
      <c r="C17" t="s">
        <v>4328</v>
      </c>
      <c r="D17" t="str">
        <f>_xlfn.IFNA(VLOOKUP(C17,[2]科目余额表!C:D,2,0),"")</f>
        <v/>
      </c>
      <c r="K17" s="288">
        <f>-上期TB!H119</f>
        <v>0</v>
      </c>
    </row>
    <row r="18" spans="1:13">
      <c r="A18" t="s">
        <v>4330</v>
      </c>
      <c r="B18" t="s">
        <v>4331</v>
      </c>
      <c r="D18" t="str">
        <f>_xlfn.IFNA(VLOOKUP(C18,[2]科目余额表!C:D,2,0),"")</f>
        <v/>
      </c>
    </row>
    <row r="19" spans="1:13">
      <c r="A19" t="s">
        <v>4332</v>
      </c>
      <c r="D19" t="str">
        <f>_xlfn.IFNA(VLOOKUP(C19,[2]科目余额表!C:D,2,0),"")</f>
        <v/>
      </c>
    </row>
    <row r="20" spans="1:13">
      <c r="A20" t="s">
        <v>4333</v>
      </c>
      <c r="D20" t="str">
        <f>_xlfn.IFNA(VLOOKUP(C20,[2]科目余额表!C:D,2,0),"")</f>
        <v/>
      </c>
    </row>
    <row r="21" spans="1:13">
      <c r="A21" t="s">
        <v>4334</v>
      </c>
      <c r="B21" t="s">
        <v>4307</v>
      </c>
      <c r="D21" t="str">
        <f>_xlfn.IFNA(VLOOKUP(C21,[2]科目余额表!C:D,2,0),"")</f>
        <v/>
      </c>
    </row>
    <row r="22" spans="1:13">
      <c r="A22" t="s">
        <v>4335</v>
      </c>
      <c r="B22" t="s">
        <v>4331</v>
      </c>
      <c r="D22" t="str">
        <f>_xlfn.IFNA(VLOOKUP(C22,[2]科目余额表!C:D,2,0),"")</f>
        <v/>
      </c>
    </row>
    <row r="23" spans="1:13">
      <c r="A23" t="s">
        <v>4336</v>
      </c>
      <c r="D23" t="str">
        <f>_xlfn.IFNA(VLOOKUP(C23,[2]科目余额表!C:D,2,0),"")</f>
        <v/>
      </c>
    </row>
    <row r="24" spans="1:13">
      <c r="A24" t="s">
        <v>4337</v>
      </c>
      <c r="D24" t="str">
        <f>_xlfn.IFNA(VLOOKUP(C24,[2]科目余额表!C:D,2,0),"")</f>
        <v/>
      </c>
    </row>
    <row r="25" spans="1:13">
      <c r="A25" t="s">
        <v>4338</v>
      </c>
    </row>
    <row r="26" spans="1:13">
      <c r="A26" t="s">
        <v>4791</v>
      </c>
      <c r="D26" t="str">
        <f>_xlfn.IFNA(VLOOKUP(C26,[2]科目余额表!C:D,2,0),"")</f>
        <v/>
      </c>
    </row>
    <row r="27" spans="1:13">
      <c r="D27" t="str">
        <f>_xlfn.IFNA(VLOOKUP(C27,[2]科目余额表!C:D,2,0),"")</f>
        <v/>
      </c>
    </row>
    <row r="28" spans="1:13">
      <c r="D28" t="str">
        <f>_xlfn.IFNA(VLOOKUP(C28,[2]科目余额表!C:D,2,0),"")</f>
        <v/>
      </c>
    </row>
    <row r="29" spans="1:13">
      <c r="D29" t="str">
        <f>_xlfn.IFNA(VLOOKUP(C29,[2]科目余额表!C:D,2,0),"")</f>
        <v/>
      </c>
    </row>
    <row r="30" spans="1:13">
      <c r="D30" t="str">
        <f>_xlfn.IFNA(VLOOKUP(C30,[2]科目余额表!C:D,2,0),"")</f>
        <v/>
      </c>
    </row>
    <row r="31" spans="1:13">
      <c r="A31" s="261" t="s">
        <v>4339</v>
      </c>
      <c r="B31" s="261"/>
      <c r="C31" s="261"/>
      <c r="D31" s="261" t="str">
        <f>_xlfn.IFNA(VLOOKUP(C31,[2]科目余额表!C:D,2,0),"")</f>
        <v/>
      </c>
      <c r="E31" s="261">
        <f>SUM(E2:E30)</f>
        <v>0</v>
      </c>
      <c r="F31" s="261">
        <f t="shared" ref="F31:K31" si="0">SUM(F2:F30)</f>
        <v>0</v>
      </c>
      <c r="G31" s="261">
        <f t="shared" si="0"/>
        <v>0</v>
      </c>
      <c r="H31" s="261">
        <f t="shared" si="0"/>
        <v>0</v>
      </c>
      <c r="I31" s="261">
        <f t="shared" si="0"/>
        <v>0</v>
      </c>
      <c r="J31" s="261">
        <f t="shared" si="0"/>
        <v>0</v>
      </c>
      <c r="K31" s="263">
        <f t="shared" si="0"/>
        <v>0</v>
      </c>
      <c r="L31" s="261"/>
      <c r="M31" s="261"/>
    </row>
    <row r="32" spans="1:13">
      <c r="D32" t="str">
        <f>_xlfn.IFNA(VLOOKUP(C32,[2]科目余额表!C:D,2,0),"")</f>
        <v/>
      </c>
    </row>
    <row r="33" spans="1:13">
      <c r="A33" t="s">
        <v>4340</v>
      </c>
      <c r="D33" t="str">
        <f>_xlfn.IFNA(VLOOKUP(C33,[2]科目余额表!C:D,2,0),"")</f>
        <v/>
      </c>
    </row>
    <row r="34" spans="1:13">
      <c r="A34" t="s">
        <v>4341</v>
      </c>
      <c r="D34" t="str">
        <f>_xlfn.IFNA(VLOOKUP(C34,[2]科目余额表!C:D,2,0),"")</f>
        <v/>
      </c>
    </row>
    <row r="35" spans="1:13">
      <c r="A35" t="s">
        <v>4342</v>
      </c>
      <c r="D35" t="str">
        <f>_xlfn.IFNA(VLOOKUP(C35,[2]科目余额表!C:D,2,0),"")</f>
        <v/>
      </c>
    </row>
    <row r="36" spans="1:13">
      <c r="A36" t="s">
        <v>4343</v>
      </c>
      <c r="D36" t="str">
        <f>_xlfn.IFNA(VLOOKUP(C36,[2]科目余额表!C:D,2,0),"")</f>
        <v/>
      </c>
    </row>
    <row r="37" spans="1:13">
      <c r="A37" t="s">
        <v>4344</v>
      </c>
      <c r="D37" t="str">
        <f>_xlfn.IFNA(VLOOKUP(C37,[2]科目余额表!C:D,2,0),"")</f>
        <v/>
      </c>
    </row>
    <row r="38" spans="1:13">
      <c r="A38" t="s">
        <v>4345</v>
      </c>
      <c r="D38" t="str">
        <f>_xlfn.IFNA(VLOOKUP(C38,[2]科目余额表!C:D,2,0),"")</f>
        <v/>
      </c>
    </row>
    <row r="39" spans="1:13">
      <c r="D39" t="str">
        <f>_xlfn.IFNA(VLOOKUP(C39,[2]科目余额表!C:D,2,0),"")</f>
        <v/>
      </c>
    </row>
    <row r="40" spans="1:13">
      <c r="D40" t="str">
        <f>_xlfn.IFNA(VLOOKUP(C40,[2]科目余额表!C:D,2,0),"")</f>
        <v/>
      </c>
    </row>
    <row r="41" spans="1:13">
      <c r="A41" s="261" t="s">
        <v>4346</v>
      </c>
      <c r="B41" s="261"/>
      <c r="C41" s="261"/>
      <c r="D41" s="261" t="str">
        <f>_xlfn.IFNA(VLOOKUP(C41,[2]科目余额表!C:D,2,0),"")</f>
        <v/>
      </c>
      <c r="E41" s="261">
        <f>SUM(E33:E40)</f>
        <v>0</v>
      </c>
      <c r="F41" s="261">
        <f t="shared" ref="F41:K41" si="1">SUM(F33:F40)</f>
        <v>0</v>
      </c>
      <c r="G41" s="261">
        <f t="shared" si="1"/>
        <v>0</v>
      </c>
      <c r="H41" s="261">
        <f t="shared" si="1"/>
        <v>0</v>
      </c>
      <c r="I41" s="261">
        <f t="shared" si="1"/>
        <v>0</v>
      </c>
      <c r="J41" s="261">
        <f t="shared" si="1"/>
        <v>0</v>
      </c>
      <c r="K41" s="263">
        <f t="shared" si="1"/>
        <v>0</v>
      </c>
      <c r="L41" s="261"/>
      <c r="M41" s="261"/>
    </row>
    <row r="42" spans="1:13">
      <c r="D42" t="str">
        <f>_xlfn.IFNA(VLOOKUP(C42,[2]科目余额表!C:D,2,0),"")</f>
        <v/>
      </c>
    </row>
    <row r="43" spans="1:13">
      <c r="D43" t="str">
        <f>_xlfn.IFNA(VLOOKUP(C43,[2]科目余额表!C:D,2,0),"")</f>
        <v/>
      </c>
    </row>
    <row r="44" spans="1:13">
      <c r="A44" t="s">
        <v>4347</v>
      </c>
      <c r="D44" t="str">
        <f>_xlfn.IFNA(VLOOKUP(C44,[2]科目余额表!C:D,2,0),"")</f>
        <v/>
      </c>
    </row>
    <row r="45" spans="1:13">
      <c r="A45" t="s">
        <v>770</v>
      </c>
      <c r="B45" t="s">
        <v>4307</v>
      </c>
      <c r="D45" t="str">
        <f>_xlfn.IFNA(VLOOKUP(C45,[2]科目余额表!C:D,2,0),"")</f>
        <v/>
      </c>
      <c r="K45" s="288">
        <f>本期TB!H193</f>
        <v>0</v>
      </c>
    </row>
    <row r="46" spans="1:13">
      <c r="A46" t="s">
        <v>570</v>
      </c>
    </row>
    <row r="47" spans="1:13">
      <c r="A47" t="s">
        <v>759</v>
      </c>
    </row>
    <row r="48" spans="1:13">
      <c r="A48" t="s">
        <v>4348</v>
      </c>
      <c r="B48" t="s">
        <v>4307</v>
      </c>
      <c r="C48" t="s">
        <v>4349</v>
      </c>
      <c r="D48" t="str">
        <f>_xlfn.IFNA(VLOOKUP(C48,[2]科目余额表!C:D,2,0),"")</f>
        <v/>
      </c>
    </row>
    <row r="49" spans="1:11">
      <c r="A49" t="s">
        <v>2830</v>
      </c>
      <c r="B49" t="s">
        <v>4307</v>
      </c>
      <c r="C49" t="s">
        <v>4350</v>
      </c>
      <c r="D49" t="str">
        <f>_xlfn.IFNA(VLOOKUP(C49,[2]科目余额表!C:D,2,0),"")</f>
        <v/>
      </c>
      <c r="K49" s="288">
        <f>VLOOKUP("与企业日常活动无关的政府补助",营业外收入!A:C,2,0)</f>
        <v>0</v>
      </c>
    </row>
    <row r="50" spans="1:11">
      <c r="A50" t="s">
        <v>2830</v>
      </c>
      <c r="B50" t="s">
        <v>4307</v>
      </c>
      <c r="C50" t="s">
        <v>4351</v>
      </c>
      <c r="D50" t="str">
        <f>_xlfn.IFNA(VLOOKUP(C50,[2]科目余额表!C:D,2,0),"")</f>
        <v/>
      </c>
    </row>
    <row r="51" spans="1:11">
      <c r="A51" t="s">
        <v>4352</v>
      </c>
      <c r="B51" t="s">
        <v>4307</v>
      </c>
      <c r="C51" t="s">
        <v>4353</v>
      </c>
      <c r="D51" t="str">
        <f>_xlfn.IFNA(VLOOKUP(C51,[2]科目余额表!C:D,2,0),"")</f>
        <v/>
      </c>
    </row>
    <row r="52" spans="1:11">
      <c r="A52" t="s">
        <v>2831</v>
      </c>
      <c r="B52" t="s">
        <v>4314</v>
      </c>
      <c r="D52" t="str">
        <f>_xlfn.IFNA(VLOOKUP(C52,[2]科目余额表!C:D,2,0),"")</f>
        <v/>
      </c>
      <c r="K52" s="288">
        <f>本期TB!H149</f>
        <v>0</v>
      </c>
    </row>
    <row r="53" spans="1:11">
      <c r="A53" t="s">
        <v>2832</v>
      </c>
      <c r="B53" t="s">
        <v>4316</v>
      </c>
      <c r="D53" t="str">
        <f>_xlfn.IFNA(VLOOKUP(C53,[2]科目余额表!C:D,2,0),"")</f>
        <v/>
      </c>
      <c r="K53" s="288">
        <f>-上期TB!H149</f>
        <v>0</v>
      </c>
    </row>
    <row r="54" spans="1:11">
      <c r="A54" t="s">
        <v>4354</v>
      </c>
      <c r="B54" t="s">
        <v>4316</v>
      </c>
      <c r="C54" t="s">
        <v>4355</v>
      </c>
      <c r="D54" t="str">
        <f>_xlfn.IFNA(VLOOKUP(C54,[2]科目余额表!C:D,2,0),"")</f>
        <v/>
      </c>
    </row>
    <row r="55" spans="1:11">
      <c r="A55" t="s">
        <v>4356</v>
      </c>
      <c r="B55" t="s">
        <v>4314</v>
      </c>
      <c r="C55" t="s">
        <v>4355</v>
      </c>
      <c r="D55" t="str">
        <f>_xlfn.IFNA(VLOOKUP(C55,[2]科目余额表!C:D,2,0),"")</f>
        <v/>
      </c>
    </row>
    <row r="56" spans="1:11">
      <c r="A56" t="s">
        <v>4357</v>
      </c>
      <c r="B56" t="s">
        <v>4314</v>
      </c>
      <c r="C56" t="s">
        <v>4358</v>
      </c>
      <c r="D56" t="str">
        <f>_xlfn.IFNA(VLOOKUP(C56,[2]科目余额表!C:D,2,0),"")</f>
        <v/>
      </c>
    </row>
    <row r="57" spans="1:11">
      <c r="A57" t="s">
        <v>4359</v>
      </c>
      <c r="B57" t="s">
        <v>4316</v>
      </c>
      <c r="C57" t="s">
        <v>4358</v>
      </c>
      <c r="D57" t="str">
        <f>_xlfn.IFNA(VLOOKUP(C57,[2]科目余额表!C:D,2,0),"")</f>
        <v/>
      </c>
    </row>
    <row r="58" spans="1:11">
      <c r="A58" t="s">
        <v>4360</v>
      </c>
    </row>
    <row r="59" spans="1:11">
      <c r="A59" t="s">
        <v>4361</v>
      </c>
    </row>
    <row r="60" spans="1:11">
      <c r="A60" t="s">
        <v>4362</v>
      </c>
    </row>
    <row r="61" spans="1:11">
      <c r="A61" t="s">
        <v>4363</v>
      </c>
    </row>
    <row r="62" spans="1:11">
      <c r="A62" t="s">
        <v>4364</v>
      </c>
    </row>
    <row r="63" spans="1:11">
      <c r="A63" t="s">
        <v>4365</v>
      </c>
    </row>
    <row r="64" spans="1:11">
      <c r="A64" t="s">
        <v>2837</v>
      </c>
      <c r="D64" t="str">
        <f>_xlfn.IFNA(VLOOKUP(C64,[2]科目余额表!C:D,2,0),"")</f>
        <v/>
      </c>
    </row>
    <row r="65" spans="1:11">
      <c r="A65" t="s">
        <v>4366</v>
      </c>
      <c r="B65" t="s">
        <v>4307</v>
      </c>
      <c r="D65" t="str">
        <f>_xlfn.IFNA(VLOOKUP(C65,[2]科目余额表!C:D,2,0),"")</f>
        <v/>
      </c>
    </row>
    <row r="66" spans="1:11">
      <c r="A66" t="s">
        <v>4367</v>
      </c>
    </row>
    <row r="67" spans="1:11">
      <c r="A67" t="s">
        <v>4368</v>
      </c>
      <c r="B67" t="s">
        <v>4316</v>
      </c>
      <c r="D67" t="str">
        <f>_xlfn.IFNA(VLOOKUP(C67,[2]科目余额表!C:D,2,0),"")</f>
        <v/>
      </c>
    </row>
    <row r="68" spans="1:11">
      <c r="A68" t="s">
        <v>4369</v>
      </c>
      <c r="B68" t="s">
        <v>4314</v>
      </c>
      <c r="D68" t="str">
        <f>_xlfn.IFNA(VLOOKUP(C68,[2]科目余额表!C:D,2,0),"")</f>
        <v/>
      </c>
    </row>
    <row r="69" spans="1:11">
      <c r="A69" t="s">
        <v>4370</v>
      </c>
      <c r="B69" t="s">
        <v>4314</v>
      </c>
    </row>
    <row r="70" spans="1:11">
      <c r="A70" t="s">
        <v>4371</v>
      </c>
      <c r="B70" t="s">
        <v>4316</v>
      </c>
    </row>
    <row r="71" spans="1:11">
      <c r="A71" t="s">
        <v>2333</v>
      </c>
      <c r="B71" t="s">
        <v>4307</v>
      </c>
      <c r="C71" t="s">
        <v>4372</v>
      </c>
      <c r="D71" t="str">
        <f>_xlfn.IFNA(VLOOKUP(C71,[2]科目余额表!C:D,2,0),"")</f>
        <v/>
      </c>
    </row>
    <row r="72" spans="1:11">
      <c r="A72" t="s">
        <v>4373</v>
      </c>
      <c r="B72" t="s">
        <v>4307</v>
      </c>
      <c r="D72" t="str">
        <f>_xlfn.IFNA(VLOOKUP(C72,[2]科目余额表!C:D,2,0),"")</f>
        <v/>
      </c>
    </row>
    <row r="73" spans="1:11">
      <c r="A73" t="s">
        <v>4374</v>
      </c>
      <c r="B73" t="s">
        <v>4307</v>
      </c>
      <c r="C73" t="s">
        <v>4375</v>
      </c>
      <c r="D73" t="str">
        <f>_xlfn.IFNA(VLOOKUP(C73,[2]科目余额表!C:D,2,0),"")</f>
        <v/>
      </c>
      <c r="K73" s="288">
        <f>财务费用分类表!B4</f>
        <v>0</v>
      </c>
    </row>
    <row r="74" spans="1:11">
      <c r="A74" t="s">
        <v>4376</v>
      </c>
      <c r="B74" t="s">
        <v>4307</v>
      </c>
      <c r="D74" t="str">
        <f>_xlfn.IFNA(VLOOKUP(C74,[2]科目余额表!C:D,2,0),"")</f>
        <v/>
      </c>
    </row>
    <row r="75" spans="1:11">
      <c r="A75" t="s">
        <v>2238</v>
      </c>
      <c r="D75" t="str">
        <f>_xlfn.IFNA(VLOOKUP(C75,[2]科目余额表!C:D,2,0),"")</f>
        <v/>
      </c>
    </row>
    <row r="76" spans="1:11">
      <c r="A76" t="s">
        <v>4377</v>
      </c>
      <c r="D76" t="str">
        <f>_xlfn.IFNA(VLOOKUP(C76,[2]科目余额表!C:D,2,0),"")</f>
        <v/>
      </c>
    </row>
    <row r="77" spans="1:11">
      <c r="A77" t="s">
        <v>4378</v>
      </c>
      <c r="D77" t="str">
        <f>_xlfn.IFNA(VLOOKUP(C77,[2]科目余额表!C:D,2,0),"")</f>
        <v/>
      </c>
    </row>
    <row r="78" spans="1:11">
      <c r="A78" t="s">
        <v>4379</v>
      </c>
      <c r="D78" t="str">
        <f>_xlfn.IFNA(VLOOKUP(C78,[2]科目余额表!C:D,2,0),"")</f>
        <v/>
      </c>
    </row>
    <row r="79" spans="1:11">
      <c r="A79" t="s">
        <v>4380</v>
      </c>
      <c r="D79" t="str">
        <f>_xlfn.IFNA(VLOOKUP(C79,[2]科目余额表!C:D,2,0),"")</f>
        <v/>
      </c>
    </row>
    <row r="80" spans="1:11">
      <c r="D80" t="str">
        <f>_xlfn.IFNA(VLOOKUP(C80,[2]科目余额表!C:D,2,0),"")</f>
        <v/>
      </c>
    </row>
    <row r="81" spans="1:13">
      <c r="D81" t="str">
        <f>_xlfn.IFNA(VLOOKUP(C81,[2]科目余额表!C:D,2,0),"")</f>
        <v/>
      </c>
    </row>
    <row r="82" spans="1:13">
      <c r="D82" t="str">
        <f>_xlfn.IFNA(VLOOKUP(C82,[2]科目余额表!C:D,2,0),"")</f>
        <v/>
      </c>
    </row>
    <row r="83" spans="1:13">
      <c r="A83" s="261" t="s">
        <v>4381</v>
      </c>
      <c r="B83" s="261"/>
      <c r="C83" s="261"/>
      <c r="D83" s="261" t="str">
        <f>_xlfn.IFNA(VLOOKUP(C83,[2]科目余额表!C:D,2,0),"")</f>
        <v/>
      </c>
      <c r="E83" s="261">
        <f t="shared" ref="E83:K83" si="2">SUM(E44:E82)</f>
        <v>0</v>
      </c>
      <c r="F83" s="261">
        <f t="shared" si="2"/>
        <v>0</v>
      </c>
      <c r="G83" s="261">
        <f t="shared" si="2"/>
        <v>0</v>
      </c>
      <c r="H83" s="261">
        <f t="shared" si="2"/>
        <v>0</v>
      </c>
      <c r="I83" s="261">
        <f t="shared" si="2"/>
        <v>0</v>
      </c>
      <c r="J83" s="261">
        <f t="shared" si="2"/>
        <v>0</v>
      </c>
      <c r="K83" s="263">
        <f t="shared" si="2"/>
        <v>0</v>
      </c>
      <c r="L83" s="261"/>
      <c r="M83" s="261"/>
    </row>
    <row r="84" spans="1:13">
      <c r="A84" s="261" t="s">
        <v>4382</v>
      </c>
      <c r="B84" s="261"/>
      <c r="C84" s="261"/>
      <c r="D84" s="261"/>
      <c r="E84" s="261">
        <f>SUM(E45:E63)</f>
        <v>0</v>
      </c>
      <c r="F84" s="261">
        <f t="shared" ref="F84:K84" si="3">SUM(F45:F63)</f>
        <v>0</v>
      </c>
      <c r="G84" s="261">
        <f t="shared" si="3"/>
        <v>0</v>
      </c>
      <c r="H84" s="261">
        <f t="shared" si="3"/>
        <v>0</v>
      </c>
      <c r="I84" s="261">
        <f t="shared" si="3"/>
        <v>0</v>
      </c>
      <c r="J84" s="261">
        <f t="shared" si="3"/>
        <v>0</v>
      </c>
      <c r="K84" s="263">
        <f t="shared" si="3"/>
        <v>0</v>
      </c>
      <c r="L84" s="261"/>
      <c r="M84" s="261"/>
    </row>
    <row r="85" spans="1:13">
      <c r="A85" s="261" t="s">
        <v>2291</v>
      </c>
      <c r="B85" s="261"/>
      <c r="C85" s="261"/>
      <c r="D85" s="261"/>
      <c r="E85" s="261">
        <f>SUM(E65:E70)</f>
        <v>0</v>
      </c>
      <c r="F85" s="261">
        <f t="shared" ref="F85:K85" si="4">SUM(F65:F70)</f>
        <v>0</v>
      </c>
      <c r="G85" s="261">
        <f t="shared" si="4"/>
        <v>0</v>
      </c>
      <c r="H85" s="261">
        <f t="shared" si="4"/>
        <v>0</v>
      </c>
      <c r="I85" s="261">
        <f t="shared" si="4"/>
        <v>0</v>
      </c>
      <c r="J85" s="261">
        <f t="shared" si="4"/>
        <v>0</v>
      </c>
      <c r="K85" s="263">
        <f t="shared" si="4"/>
        <v>0</v>
      </c>
      <c r="L85" s="261"/>
      <c r="M85" s="261"/>
    </row>
    <row r="86" spans="1:13">
      <c r="A86" s="261" t="s">
        <v>2836</v>
      </c>
      <c r="B86" s="261"/>
      <c r="C86" s="261"/>
      <c r="D86" s="261"/>
      <c r="E86" s="261">
        <f>SUM(E73)</f>
        <v>0</v>
      </c>
      <c r="F86" s="261">
        <f t="shared" ref="F86:K86" si="5">SUM(F73)</f>
        <v>0</v>
      </c>
      <c r="G86" s="261">
        <f t="shared" si="5"/>
        <v>0</v>
      </c>
      <c r="H86" s="261">
        <f t="shared" si="5"/>
        <v>0</v>
      </c>
      <c r="I86" s="261">
        <f t="shared" si="5"/>
        <v>0</v>
      </c>
      <c r="J86" s="261">
        <f t="shared" si="5"/>
        <v>0</v>
      </c>
      <c r="K86" s="263">
        <f t="shared" si="5"/>
        <v>0</v>
      </c>
      <c r="L86" s="261"/>
      <c r="M86" s="261"/>
    </row>
    <row r="87" spans="1:13">
      <c r="A87" s="261" t="s">
        <v>4383</v>
      </c>
      <c r="B87" s="261"/>
      <c r="C87" s="261"/>
      <c r="D87" s="261"/>
      <c r="E87" s="261">
        <f>SUM(E75:E79,E71)</f>
        <v>0</v>
      </c>
      <c r="F87" s="261">
        <f t="shared" ref="F87:K87" si="6">SUM(F75:F79,F71)</f>
        <v>0</v>
      </c>
      <c r="G87" s="261">
        <f t="shared" si="6"/>
        <v>0</v>
      </c>
      <c r="H87" s="261">
        <f t="shared" si="6"/>
        <v>0</v>
      </c>
      <c r="I87" s="261">
        <f t="shared" si="6"/>
        <v>0</v>
      </c>
      <c r="J87" s="261">
        <f t="shared" si="6"/>
        <v>0</v>
      </c>
      <c r="K87" s="263">
        <f t="shared" si="6"/>
        <v>0</v>
      </c>
      <c r="L87" s="261"/>
      <c r="M87" s="261"/>
    </row>
    <row r="89" spans="1:13">
      <c r="A89" s="255" t="s">
        <v>3650</v>
      </c>
      <c r="B89" s="255"/>
      <c r="C89" s="255"/>
      <c r="D89" s="255"/>
      <c r="E89" s="255">
        <f>E83-SUM(E84:E88)</f>
        <v>0</v>
      </c>
      <c r="F89" s="255">
        <f t="shared" ref="F89:K89" si="7">F83-SUM(F84:F88)</f>
        <v>0</v>
      </c>
      <c r="G89" s="255">
        <f t="shared" si="7"/>
        <v>0</v>
      </c>
      <c r="H89" s="255">
        <f t="shared" si="7"/>
        <v>0</v>
      </c>
      <c r="I89" s="255">
        <f t="shared" si="7"/>
        <v>0</v>
      </c>
      <c r="J89" s="255">
        <f t="shared" si="7"/>
        <v>0</v>
      </c>
      <c r="K89" s="288">
        <f t="shared" si="7"/>
        <v>0</v>
      </c>
      <c r="L89" s="255"/>
      <c r="M89" s="255"/>
    </row>
    <row r="90" spans="1:13">
      <c r="D90" t="str">
        <f>_xlfn.IFNA(VLOOKUP(C90,[2]科目余额表!C:D,2,0),"")</f>
        <v/>
      </c>
    </row>
    <row r="91" spans="1:13">
      <c r="A91" t="s">
        <v>773</v>
      </c>
      <c r="B91" t="s">
        <v>4331</v>
      </c>
      <c r="C91" t="s">
        <v>4384</v>
      </c>
      <c r="D91" t="str">
        <f>_xlfn.IFNA(VLOOKUP(C91,[2]科目余额表!C:D,2,0),"")</f>
        <v/>
      </c>
      <c r="K91" s="288">
        <f>本期TB!H179</f>
        <v>0</v>
      </c>
    </row>
    <row r="92" spans="1:13">
      <c r="A92" t="s">
        <v>774</v>
      </c>
      <c r="B92" t="s">
        <v>4331</v>
      </c>
      <c r="C92" t="s">
        <v>4385</v>
      </c>
      <c r="D92" t="str">
        <f>_xlfn.IFNA(VLOOKUP(C92,[2]科目余额表!C:D,2,0),"")</f>
        <v/>
      </c>
      <c r="K92" s="288">
        <f>本期TB!H180</f>
        <v>0</v>
      </c>
    </row>
    <row r="93" spans="1:13">
      <c r="A93" t="s">
        <v>4386</v>
      </c>
      <c r="B93" t="s">
        <v>4331</v>
      </c>
      <c r="C93" t="s">
        <v>3113</v>
      </c>
      <c r="D93" t="str">
        <f>_xlfn.IFNA(VLOOKUP(C93,[2]科目余额表!C:D,2,0),"")</f>
        <v/>
      </c>
      <c r="K93" s="288">
        <f>应交增值税计提!B7</f>
        <v>0</v>
      </c>
    </row>
    <row r="94" spans="1:13">
      <c r="D94" t="str">
        <f>_xlfn.IFNA(VLOOKUP(C94,[2]科目余额表!C:D,2,0),"")</f>
        <v/>
      </c>
    </row>
    <row r="95" spans="1:13">
      <c r="A95" t="s">
        <v>4387</v>
      </c>
      <c r="D95" t="str">
        <f>_xlfn.IFNA(VLOOKUP(C95,[2]科目余额表!C:D,2,0),"")</f>
        <v/>
      </c>
    </row>
    <row r="96" spans="1:13">
      <c r="A96" t="s">
        <v>4766</v>
      </c>
      <c r="B96" t="s">
        <v>4314</v>
      </c>
      <c r="C96" t="s">
        <v>4388</v>
      </c>
      <c r="D96" t="str">
        <f>_xlfn.IFNA(VLOOKUP(C96,[2]科目余额表!C:D,2,0),"")</f>
        <v/>
      </c>
      <c r="K96" s="288">
        <f>本期TB!H34</f>
        <v>0</v>
      </c>
    </row>
    <row r="97" spans="1:11">
      <c r="A97" t="s">
        <v>4767</v>
      </c>
      <c r="B97" t="s">
        <v>4316</v>
      </c>
      <c r="C97" t="s">
        <v>4388</v>
      </c>
      <c r="D97" t="str">
        <f>_xlfn.IFNA(VLOOKUP(C97,[2]科目余额表!C:D,2,0),"")</f>
        <v/>
      </c>
      <c r="K97" s="288">
        <f>-上期TB!H34</f>
        <v>0</v>
      </c>
    </row>
    <row r="98" spans="1:11">
      <c r="A98" t="s">
        <v>4389</v>
      </c>
      <c r="B98" t="s">
        <v>4314</v>
      </c>
      <c r="C98" t="s">
        <v>4390</v>
      </c>
      <c r="D98" t="str">
        <f>_xlfn.IFNA(VLOOKUP(C98,[2]科目余额表!C:D,2,0),"")</f>
        <v/>
      </c>
    </row>
    <row r="99" spans="1:11">
      <c r="A99" t="s">
        <v>4391</v>
      </c>
      <c r="B99" t="s">
        <v>4316</v>
      </c>
      <c r="C99" t="s">
        <v>4390</v>
      </c>
      <c r="D99" t="str">
        <f>_xlfn.IFNA(VLOOKUP(C99,[2]科目余额表!C:D,2,0),"")</f>
        <v/>
      </c>
    </row>
    <row r="100" spans="1:11">
      <c r="A100" t="s">
        <v>4392</v>
      </c>
      <c r="B100" t="s">
        <v>4314</v>
      </c>
      <c r="C100" t="s">
        <v>3117</v>
      </c>
      <c r="D100" t="str">
        <f>_xlfn.IFNA(VLOOKUP(C100,[2]科目余额表!C:D,2,0),"")</f>
        <v/>
      </c>
    </row>
    <row r="101" spans="1:11">
      <c r="A101" t="s">
        <v>4393</v>
      </c>
      <c r="B101" t="s">
        <v>4316</v>
      </c>
      <c r="C101" t="s">
        <v>3117</v>
      </c>
      <c r="D101" t="str">
        <f>_xlfn.IFNA(VLOOKUP(C101,[2]科目余额表!C:D,2,0),"")</f>
        <v/>
      </c>
    </row>
    <row r="102" spans="1:11">
      <c r="A102" t="s">
        <v>4394</v>
      </c>
      <c r="B102" t="s">
        <v>4314</v>
      </c>
      <c r="C102" t="s">
        <v>3107</v>
      </c>
      <c r="D102" t="str">
        <f>_xlfn.IFNA(VLOOKUP(C102,[2]科目余额表!C:D,2,0),"")</f>
        <v/>
      </c>
    </row>
    <row r="103" spans="1:11">
      <c r="A103" t="s">
        <v>4395</v>
      </c>
      <c r="B103" t="s">
        <v>4316</v>
      </c>
      <c r="C103" t="s">
        <v>3107</v>
      </c>
      <c r="D103" t="str">
        <f>_xlfn.IFNA(VLOOKUP(C103,[2]科目余额表!C:D,2,0),"")</f>
        <v/>
      </c>
    </row>
    <row r="104" spans="1:11">
      <c r="A104" t="s">
        <v>4396</v>
      </c>
      <c r="B104" t="s">
        <v>4314</v>
      </c>
      <c r="C104" t="s">
        <v>3118</v>
      </c>
      <c r="D104" t="str">
        <f>_xlfn.IFNA(VLOOKUP(C104,[2]科目余额表!C:D,2,0),"")</f>
        <v/>
      </c>
    </row>
    <row r="105" spans="1:11">
      <c r="A105" t="s">
        <v>4397</v>
      </c>
      <c r="B105" t="s">
        <v>4316</v>
      </c>
      <c r="C105" t="s">
        <v>3118</v>
      </c>
      <c r="D105" t="str">
        <f>_xlfn.IFNA(VLOOKUP(C105,[2]科目余额表!C:D,2,0),"")</f>
        <v/>
      </c>
    </row>
    <row r="106" spans="1:11">
      <c r="A106" t="s">
        <v>4398</v>
      </c>
      <c r="B106" t="s">
        <v>4314</v>
      </c>
      <c r="C106" t="s">
        <v>3106</v>
      </c>
      <c r="D106" t="str">
        <f>_xlfn.IFNA(VLOOKUP(C106,[2]科目余额表!C:D,2,0),"")</f>
        <v/>
      </c>
      <c r="K106" s="288">
        <f>本期TB!H19</f>
        <v>0</v>
      </c>
    </row>
    <row r="107" spans="1:11">
      <c r="A107" t="s">
        <v>4399</v>
      </c>
      <c r="B107" t="s">
        <v>4316</v>
      </c>
      <c r="C107" t="s">
        <v>3106</v>
      </c>
      <c r="D107" t="str">
        <f>_xlfn.IFNA(VLOOKUP(C107,[2]科目余额表!C:D,2,0),"")</f>
        <v/>
      </c>
      <c r="K107" s="288">
        <f>-上期TB!H19</f>
        <v>0</v>
      </c>
    </row>
    <row r="108" spans="1:11">
      <c r="A108" t="s">
        <v>4400</v>
      </c>
      <c r="B108" t="s">
        <v>4316</v>
      </c>
      <c r="C108" t="s">
        <v>4401</v>
      </c>
      <c r="D108" t="str">
        <f>_xlfn.IFNA(VLOOKUP(C108,[2]科目余额表!C:D,2,0),"")</f>
        <v/>
      </c>
      <c r="K108" s="288">
        <f>上期TB!H117</f>
        <v>0</v>
      </c>
    </row>
    <row r="109" spans="1:11">
      <c r="A109" t="s">
        <v>4402</v>
      </c>
      <c r="B109" t="s">
        <v>4314</v>
      </c>
      <c r="C109" t="s">
        <v>4401</v>
      </c>
      <c r="D109" t="str">
        <f>_xlfn.IFNA(VLOOKUP(C109,[2]科目余额表!C:D,2,0),"")</f>
        <v/>
      </c>
      <c r="K109" s="288">
        <f>-本期TB!H117</f>
        <v>0</v>
      </c>
    </row>
    <row r="110" spans="1:11">
      <c r="A110" t="s">
        <v>4403</v>
      </c>
      <c r="B110" t="s">
        <v>4316</v>
      </c>
      <c r="C110" t="s">
        <v>3112</v>
      </c>
      <c r="D110" t="str">
        <f>_xlfn.IFNA(VLOOKUP(C110,[2]科目余额表!C:D,2,0),"")</f>
        <v/>
      </c>
    </row>
    <row r="111" spans="1:11">
      <c r="A111" t="s">
        <v>4404</v>
      </c>
      <c r="B111" t="s">
        <v>4314</v>
      </c>
      <c r="C111" t="s">
        <v>3112</v>
      </c>
      <c r="D111" t="str">
        <f>_xlfn.IFNA(VLOOKUP(C111,[2]科目余额表!C:D,2,0),"")</f>
        <v/>
      </c>
    </row>
    <row r="112" spans="1:11">
      <c r="A112" t="s">
        <v>4405</v>
      </c>
      <c r="D112" t="str">
        <f>_xlfn.IFNA(VLOOKUP(C112,[2]科目余额表!C:D,2,0),"")</f>
        <v/>
      </c>
      <c r="K112" s="288">
        <f>-(薪酬校验表!B5+薪酬校验表!B7)</f>
        <v>0</v>
      </c>
    </row>
    <row r="113" spans="1:11">
      <c r="A113" t="s">
        <v>4406</v>
      </c>
      <c r="D113" t="str">
        <f>_xlfn.IFNA(VLOOKUP(C113,[2]科目余额表!C:D,2,0),"")</f>
        <v/>
      </c>
      <c r="K113" s="288">
        <f>-(折旧及摊销校验表!B8+折旧及摊销校验表!B7+折旧及摊销校验表!B19+折旧及摊销校验表!B44+折旧及摊销校验表!B30)</f>
        <v>0</v>
      </c>
    </row>
    <row r="114" spans="1:11">
      <c r="A114" t="s">
        <v>4407</v>
      </c>
      <c r="D114" t="str">
        <f>_xlfn.IFNA(VLOOKUP(C114,[2]科目余额表!C:D,2,0),"")</f>
        <v/>
      </c>
    </row>
    <row r="115" spans="1:11">
      <c r="A115" t="s">
        <v>4408</v>
      </c>
      <c r="D115" t="str">
        <f>_xlfn.IFNA(VLOOKUP(C115,[2]科目余额表!C:D,2,0),"")</f>
        <v/>
      </c>
    </row>
    <row r="116" spans="1:11">
      <c r="A116" t="s">
        <v>4409</v>
      </c>
      <c r="D116" t="str">
        <f>_xlfn.IFNA(VLOOKUP(C116,[2]科目余额表!C:D,2,0),"")</f>
        <v/>
      </c>
    </row>
    <row r="117" spans="1:11">
      <c r="A117" t="s">
        <v>4410</v>
      </c>
      <c r="D117" t="str">
        <f>_xlfn.IFNA(VLOOKUP(C117,[2]科目余额表!C:D,2,0),"")</f>
        <v/>
      </c>
    </row>
    <row r="118" spans="1:11">
      <c r="A118" t="s">
        <v>4411</v>
      </c>
      <c r="D118" t="str">
        <f>_xlfn.IFNA(VLOOKUP(C118,[2]科目余额表!C:D,2,0),"")</f>
        <v/>
      </c>
    </row>
    <row r="119" spans="1:11">
      <c r="A119" t="s">
        <v>4412</v>
      </c>
      <c r="D119" t="str">
        <f>_xlfn.IFNA(VLOOKUP(C119,[2]科目余额表!C:D,2,0),"")</f>
        <v/>
      </c>
    </row>
    <row r="120" spans="1:11">
      <c r="A120" t="s">
        <v>4413</v>
      </c>
      <c r="D120" t="str">
        <f>_xlfn.IFNA(VLOOKUP(C120,[2]科目余额表!C:D,2,0),"")</f>
        <v/>
      </c>
    </row>
    <row r="121" spans="1:11">
      <c r="A121" t="s">
        <v>4414</v>
      </c>
      <c r="C121" t="s">
        <v>4415</v>
      </c>
      <c r="D121" t="str">
        <f>_xlfn.IFNA(VLOOKUP(C121,[2]科目余额表!C:D,2,0),"")</f>
        <v/>
      </c>
    </row>
    <row r="122" spans="1:11">
      <c r="A122" t="s">
        <v>4416</v>
      </c>
      <c r="D122" t="str">
        <f>_xlfn.IFNA(VLOOKUP(C122,[2]科目余额表!C:D,2,0),"")</f>
        <v/>
      </c>
    </row>
    <row r="123" spans="1:11">
      <c r="A123" t="s">
        <v>4417</v>
      </c>
      <c r="D123" t="str">
        <f>_xlfn.IFNA(VLOOKUP(C123,[2]科目余额表!C:D,2,0),"")</f>
        <v/>
      </c>
    </row>
    <row r="124" spans="1:11">
      <c r="A124" t="s">
        <v>4768</v>
      </c>
      <c r="D124" t="str">
        <f>_xlfn.IFNA(VLOOKUP(C124,[2]科目余额表!C:D,2,0),"")</f>
        <v/>
      </c>
      <c r="K124" s="288">
        <f>-利息资本化校验!B3</f>
        <v>0</v>
      </c>
    </row>
    <row r="125" spans="1:11">
      <c r="D125" t="str">
        <f>_xlfn.IFNA(VLOOKUP(C125,[2]科目余额表!C:D,2,0),"")</f>
        <v/>
      </c>
    </row>
    <row r="126" spans="1:11">
      <c r="D126" t="str">
        <f>_xlfn.IFNA(VLOOKUP(C126,[2]科目余额表!C:D,2,0),"")</f>
        <v/>
      </c>
    </row>
    <row r="127" spans="1:11">
      <c r="D127" t="str">
        <f>_xlfn.IFNA(VLOOKUP(C127,[2]科目余额表!C:D,2,0),"")</f>
        <v/>
      </c>
    </row>
    <row r="128" spans="1:11">
      <c r="D128" t="str">
        <f>_xlfn.IFNA(VLOOKUP(C128,[2]科目余额表!C:D,2,0),"")</f>
        <v/>
      </c>
    </row>
    <row r="129" spans="1:13">
      <c r="D129" t="str">
        <f>_xlfn.IFNA(VLOOKUP(C129,[2]科目余额表!C:D,2,0),"")</f>
        <v/>
      </c>
    </row>
    <row r="130" spans="1:13">
      <c r="A130" s="261" t="s">
        <v>4418</v>
      </c>
      <c r="B130" s="261"/>
      <c r="C130" s="261"/>
      <c r="D130" s="261" t="str">
        <f>_xlfn.IFNA(VLOOKUP(C130,[2]科目余额表!C:D,2,0),"")</f>
        <v/>
      </c>
      <c r="E130" s="261">
        <f>SUM(E91:E129)</f>
        <v>0</v>
      </c>
      <c r="F130" s="261">
        <f t="shared" ref="F130:K130" si="8">SUM(F91:F129)</f>
        <v>0</v>
      </c>
      <c r="G130" s="261">
        <f t="shared" si="8"/>
        <v>0</v>
      </c>
      <c r="H130" s="261">
        <f t="shared" si="8"/>
        <v>0</v>
      </c>
      <c r="I130" s="261">
        <f t="shared" si="8"/>
        <v>0</v>
      </c>
      <c r="J130" s="261">
        <f t="shared" si="8"/>
        <v>0</v>
      </c>
      <c r="K130" s="620">
        <f t="shared" si="8"/>
        <v>0</v>
      </c>
      <c r="L130" s="261"/>
      <c r="M130" s="261"/>
    </row>
    <row r="131" spans="1:13">
      <c r="D131" t="str">
        <f>_xlfn.IFNA(VLOOKUP(C131,[2]科目余额表!C:D,2,0),"")</f>
        <v/>
      </c>
    </row>
    <row r="132" spans="1:13">
      <c r="D132" t="str">
        <f>_xlfn.IFNA(VLOOKUP(C132,[2]科目余额表!C:D,2,0),"")</f>
        <v/>
      </c>
    </row>
    <row r="133" spans="1:13">
      <c r="D133" t="str">
        <f>_xlfn.IFNA(VLOOKUP(C133,[2]科目余额表!C:D,2,0),"")</f>
        <v/>
      </c>
    </row>
    <row r="134" spans="1:13">
      <c r="D134" t="str">
        <f>_xlfn.IFNA(VLOOKUP(C134,[2]科目余额表!C:D,2,0),"")</f>
        <v/>
      </c>
    </row>
    <row r="135" spans="1:13">
      <c r="A135" t="s">
        <v>4419</v>
      </c>
      <c r="B135" t="s">
        <v>4331</v>
      </c>
      <c r="D135" t="str">
        <f>_xlfn.IFNA(VLOOKUP(C135,[2]科目余额表!C:D,2,0),"")</f>
        <v/>
      </c>
    </row>
    <row r="136" spans="1:13">
      <c r="A136" t="s">
        <v>4420</v>
      </c>
      <c r="B136" t="s">
        <v>4331</v>
      </c>
      <c r="D136" t="str">
        <f>_xlfn.IFNA(VLOOKUP(C136,[2]科目余额表!C:D,2,0),"")</f>
        <v/>
      </c>
    </row>
    <row r="137" spans="1:13">
      <c r="A137" t="s">
        <v>4421</v>
      </c>
      <c r="B137" t="s">
        <v>4331</v>
      </c>
      <c r="C137" t="s">
        <v>4422</v>
      </c>
      <c r="D137" t="str">
        <f>_xlfn.IFNA(VLOOKUP(C137,[2]科目余额表!C:D,2,0),"")</f>
        <v/>
      </c>
    </row>
    <row r="138" spans="1:13">
      <c r="A138" t="s">
        <v>4769</v>
      </c>
      <c r="B138" t="s">
        <v>4331</v>
      </c>
      <c r="C138" t="s">
        <v>4423</v>
      </c>
      <c r="D138" t="str">
        <f>_xlfn.IFNA(VLOOKUP(C138,[2]科目余额表!C:D,2,0),"")</f>
        <v/>
      </c>
    </row>
    <row r="139" spans="1:13">
      <c r="A139" t="s">
        <v>2510</v>
      </c>
      <c r="B139" t="s">
        <v>4331</v>
      </c>
      <c r="C139" t="s">
        <v>4424</v>
      </c>
      <c r="D139" t="str">
        <f>_xlfn.IFNA(VLOOKUP(C139,[2]科目余额表!C:D,2,0),"")</f>
        <v/>
      </c>
    </row>
    <row r="140" spans="1:13">
      <c r="A140" t="s">
        <v>2504</v>
      </c>
      <c r="B140" t="s">
        <v>4331</v>
      </c>
      <c r="C140" t="s">
        <v>4425</v>
      </c>
      <c r="D140" t="str">
        <f>_xlfn.IFNA(VLOOKUP(C140,[2]科目余额表!C:D,2,0),"")</f>
        <v/>
      </c>
    </row>
    <row r="141" spans="1:13">
      <c r="A141" t="s">
        <v>2506</v>
      </c>
      <c r="B141" t="s">
        <v>4331</v>
      </c>
      <c r="C141" t="s">
        <v>4426</v>
      </c>
      <c r="D141" t="str">
        <f>_xlfn.IFNA(VLOOKUP(C141,[2]科目余额表!C:D,2,0),"")</f>
        <v/>
      </c>
    </row>
    <row r="142" spans="1:13">
      <c r="A142" t="s">
        <v>4421</v>
      </c>
      <c r="B142" t="s">
        <v>4331</v>
      </c>
      <c r="C142" t="s">
        <v>4427</v>
      </c>
      <c r="D142" t="str">
        <f>_xlfn.IFNA(VLOOKUP(C142,[2]科目余额表!C:D,2,0),"")</f>
        <v/>
      </c>
    </row>
    <row r="143" spans="1:13">
      <c r="A143" t="s">
        <v>4421</v>
      </c>
      <c r="B143" t="s">
        <v>4331</v>
      </c>
      <c r="D143" t="s">
        <v>575</v>
      </c>
    </row>
    <row r="144" spans="1:13">
      <c r="A144" t="s">
        <v>4428</v>
      </c>
      <c r="B144" t="s">
        <v>4316</v>
      </c>
      <c r="C144" t="s">
        <v>4429</v>
      </c>
      <c r="D144" t="str">
        <f>_xlfn.IFNA(VLOOKUP(C144,[2]科目余额表!C:D,2,0),"")</f>
        <v/>
      </c>
    </row>
    <row r="145" spans="1:13">
      <c r="A145" t="s">
        <v>4430</v>
      </c>
      <c r="B145" t="s">
        <v>4314</v>
      </c>
      <c r="C145" t="s">
        <v>4429</v>
      </c>
      <c r="D145" t="str">
        <f>_xlfn.IFNA(VLOOKUP(C145,[2]科目余额表!C:D,2,0),"")</f>
        <v/>
      </c>
    </row>
    <row r="146" spans="1:13">
      <c r="A146" t="s">
        <v>4431</v>
      </c>
      <c r="B146" t="s">
        <v>4316</v>
      </c>
      <c r="C146" t="s">
        <v>4432</v>
      </c>
      <c r="D146" t="str">
        <f>_xlfn.IFNA(VLOOKUP(C146,[2]科目余额表!C:D,2,0),"")</f>
        <v/>
      </c>
      <c r="K146" s="288">
        <f>VLOOKUP("个人所得税",应交税费!A:E,2,0)</f>
        <v>0</v>
      </c>
    </row>
    <row r="147" spans="1:13">
      <c r="A147" t="s">
        <v>4433</v>
      </c>
      <c r="B147" t="s">
        <v>4314</v>
      </c>
      <c r="C147" t="s">
        <v>4432</v>
      </c>
      <c r="D147" t="str">
        <f>_xlfn.IFNA(VLOOKUP(C147,[2]科目余额表!C:D,2,0),"")</f>
        <v/>
      </c>
      <c r="K147" s="288">
        <f>-_xlfn.IFNA(VLOOKUP("个人所得税",应交税费!A:E,5,0),0)</f>
        <v>0</v>
      </c>
    </row>
    <row r="148" spans="1:13">
      <c r="A148" t="s">
        <v>4770</v>
      </c>
      <c r="D148" t="str">
        <f>_xlfn.IFNA(VLOOKUP(C148,[2]科目余额表!C:D,2,0),"")</f>
        <v/>
      </c>
      <c r="K148" s="288">
        <f>_xlfn.IFNA(VLOOKUP("合计",应付职工薪酬明细情况!A:E,4,0),0)</f>
        <v>0</v>
      </c>
    </row>
    <row r="149" spans="1:13">
      <c r="D149" t="str">
        <f>_xlfn.IFNA(VLOOKUP(C149,[2]科目余额表!C:D,2,0),"")</f>
        <v/>
      </c>
    </row>
    <row r="150" spans="1:13">
      <c r="A150" s="261" t="s">
        <v>4434</v>
      </c>
      <c r="B150" s="261"/>
      <c r="C150" s="261"/>
      <c r="D150" s="261" t="str">
        <f>_xlfn.IFNA(VLOOKUP(C150,[2]科目余额表!C:D,2,0),"")</f>
        <v/>
      </c>
      <c r="E150" s="261">
        <f>SUM(E135:E149)</f>
        <v>0</v>
      </c>
      <c r="F150" s="261">
        <f t="shared" ref="F150:K150" si="9">SUM(F135:F149)</f>
        <v>0</v>
      </c>
      <c r="G150" s="261">
        <f t="shared" si="9"/>
        <v>0</v>
      </c>
      <c r="H150" s="261">
        <f t="shared" si="9"/>
        <v>0</v>
      </c>
      <c r="I150" s="261">
        <f t="shared" si="9"/>
        <v>0</v>
      </c>
      <c r="J150" s="261">
        <f t="shared" si="9"/>
        <v>0</v>
      </c>
      <c r="K150" s="263">
        <f t="shared" si="9"/>
        <v>0</v>
      </c>
      <c r="L150" s="261"/>
      <c r="M150" s="261"/>
    </row>
    <row r="152" spans="1:13">
      <c r="D152" t="str">
        <f>_xlfn.IFNA(VLOOKUP(C152,[2]科目余额表!C:D,2,0),"")</f>
        <v/>
      </c>
    </row>
    <row r="153" spans="1:13">
      <c r="A153" t="s">
        <v>4435</v>
      </c>
      <c r="B153" t="s">
        <v>4331</v>
      </c>
      <c r="C153" t="s">
        <v>4436</v>
      </c>
      <c r="D153" t="str">
        <f>_xlfn.IFNA(VLOOKUP(C153,[2]科目余额表!C:D,2,0),"")</f>
        <v/>
      </c>
    </row>
    <row r="154" spans="1:13">
      <c r="A154" t="s">
        <v>4437</v>
      </c>
      <c r="B154" t="s">
        <v>4331</v>
      </c>
      <c r="C154" t="s">
        <v>4438</v>
      </c>
      <c r="D154" t="str">
        <f>_xlfn.IFNA(VLOOKUP(C154,[2]科目余额表!C:D,2,0),"")</f>
        <v/>
      </c>
    </row>
    <row r="155" spans="1:13">
      <c r="A155" t="s">
        <v>521</v>
      </c>
      <c r="B155" t="s">
        <v>4331</v>
      </c>
      <c r="C155" t="s">
        <v>4439</v>
      </c>
      <c r="D155" t="str">
        <f>_xlfn.IFNA(VLOOKUP(C155,[2]科目余额表!C:D,2,0),"")</f>
        <v/>
      </c>
    </row>
    <row r="156" spans="1:13">
      <c r="A156" t="s">
        <v>522</v>
      </c>
      <c r="B156" t="s">
        <v>4331</v>
      </c>
      <c r="C156" t="s">
        <v>4440</v>
      </c>
      <c r="D156" t="str">
        <f>_xlfn.IFNA(VLOOKUP(C156,[2]科目余额表!C:D,2,0),"")</f>
        <v/>
      </c>
    </row>
    <row r="157" spans="1:13">
      <c r="A157" t="s">
        <v>4441</v>
      </c>
      <c r="B157" t="s">
        <v>4331</v>
      </c>
      <c r="C157" t="s">
        <v>4442</v>
      </c>
      <c r="D157" t="str">
        <f>_xlfn.IFNA(VLOOKUP(C157,[2]科目余额表!C:D,2,0),"")</f>
        <v/>
      </c>
    </row>
    <row r="158" spans="1:13">
      <c r="A158" t="s">
        <v>4443</v>
      </c>
      <c r="B158" t="s">
        <v>4331</v>
      </c>
      <c r="C158" t="s">
        <v>4444</v>
      </c>
      <c r="D158" t="str">
        <f>_xlfn.IFNA(VLOOKUP(C158,[2]科目余额表!C:D,2,0),"")</f>
        <v/>
      </c>
    </row>
    <row r="159" spans="1:13">
      <c r="B159" t="s">
        <v>4331</v>
      </c>
      <c r="C159" t="s">
        <v>4445</v>
      </c>
      <c r="D159" t="str">
        <f>_xlfn.IFNA(VLOOKUP(C159,[2]科目余额表!C:D,2,0),"")</f>
        <v/>
      </c>
    </row>
    <row r="160" spans="1:13">
      <c r="A160" t="s">
        <v>3643</v>
      </c>
      <c r="B160" t="s">
        <v>4331</v>
      </c>
      <c r="C160" t="s">
        <v>4446</v>
      </c>
      <c r="D160" t="str">
        <f>_xlfn.IFNA(VLOOKUP(C160,[2]科目余额表!C:D,2,0),"")</f>
        <v/>
      </c>
    </row>
    <row r="161" spans="1:13">
      <c r="A161" t="s">
        <v>106</v>
      </c>
      <c r="B161" t="s">
        <v>4331</v>
      </c>
      <c r="C161" t="s">
        <v>4447</v>
      </c>
      <c r="D161" t="str">
        <f>_xlfn.IFNA(VLOOKUP(C161,[2]科目余额表!C:D,2,0),"")</f>
        <v/>
      </c>
    </row>
    <row r="162" spans="1:13">
      <c r="A162" t="s">
        <v>4771</v>
      </c>
      <c r="B162" t="s">
        <v>4331</v>
      </c>
      <c r="D162" t="str">
        <f>_xlfn.IFNA(VLOOKUP(C162,[2]科目余额表!C:D,2,0),"")</f>
        <v/>
      </c>
      <c r="K162" s="288">
        <f>_xlfn.IFNA(VLOOKUP("合计",应交税费!A:E,4,0),0)</f>
        <v>0</v>
      </c>
    </row>
    <row r="163" spans="1:13">
      <c r="A163" t="s">
        <v>4772</v>
      </c>
      <c r="B163" t="s">
        <v>4331</v>
      </c>
      <c r="D163" t="str">
        <f>_xlfn.IFNA(VLOOKUP(C163,[2]科目余额表!C:D,2,0),"")</f>
        <v/>
      </c>
      <c r="K163" s="288">
        <f>-_xlfn.IFNA(VLOOKUP("个人所得税",应交税费!A:E,4,0),0)</f>
        <v>0</v>
      </c>
    </row>
    <row r="164" spans="1:13">
      <c r="B164" t="s">
        <v>4331</v>
      </c>
      <c r="D164" t="str">
        <f>_xlfn.IFNA(VLOOKUP(C164,[2]科目余额表!C:D,2,0),"")</f>
        <v/>
      </c>
    </row>
    <row r="165" spans="1:13">
      <c r="B165" t="s">
        <v>4331</v>
      </c>
      <c r="D165" t="str">
        <f>_xlfn.IFNA(VLOOKUP(C165,[2]科目余额表!C:D,2,0),"")</f>
        <v/>
      </c>
    </row>
    <row r="166" spans="1:13">
      <c r="B166" t="s">
        <v>4331</v>
      </c>
      <c r="D166" t="str">
        <f>_xlfn.IFNA(VLOOKUP(C166,[2]科目余额表!C:D,2,0),"")</f>
        <v/>
      </c>
    </row>
    <row r="167" spans="1:13">
      <c r="D167" t="str">
        <f>_xlfn.IFNA(VLOOKUP(C167,[2]科目余额表!C:D,2,0),"")</f>
        <v/>
      </c>
    </row>
    <row r="168" spans="1:13">
      <c r="D168" t="str">
        <f>_xlfn.IFNA(VLOOKUP(C168,[2]科目余额表!C:D,2,0),"")</f>
        <v/>
      </c>
    </row>
    <row r="169" spans="1:13">
      <c r="D169" t="str">
        <f>_xlfn.IFNA(VLOOKUP(C169,[2]科目余额表!C:D,2,0),"")</f>
        <v/>
      </c>
    </row>
    <row r="170" spans="1:13">
      <c r="D170" t="str">
        <f>_xlfn.IFNA(VLOOKUP(C170,[2]科目余额表!C:D,2,0),"")</f>
        <v/>
      </c>
    </row>
    <row r="171" spans="1:13">
      <c r="A171" s="261" t="s">
        <v>4448</v>
      </c>
      <c r="B171" s="261"/>
      <c r="C171" s="261"/>
      <c r="D171" s="261" t="str">
        <f>_xlfn.IFNA(VLOOKUP(C171,[2]科目余额表!C:D,2,0),"")</f>
        <v/>
      </c>
      <c r="E171" s="261">
        <f>SUM(E153:E170)</f>
        <v>0</v>
      </c>
      <c r="F171" s="261">
        <f t="shared" ref="F171:K171" si="10">SUM(F153:F170)</f>
        <v>0</v>
      </c>
      <c r="G171" s="261">
        <f t="shared" si="10"/>
        <v>0</v>
      </c>
      <c r="H171" s="261">
        <f t="shared" si="10"/>
        <v>0</v>
      </c>
      <c r="I171" s="261">
        <f t="shared" si="10"/>
        <v>0</v>
      </c>
      <c r="J171" s="261">
        <f t="shared" si="10"/>
        <v>0</v>
      </c>
      <c r="K171" s="263">
        <f t="shared" si="10"/>
        <v>0</v>
      </c>
      <c r="L171" s="261"/>
      <c r="M171" s="261"/>
    </row>
    <row r="172" spans="1:13">
      <c r="D172" t="str">
        <f>_xlfn.IFNA(VLOOKUP(C172,[2]科目余额表!C:D,2,0),"")</f>
        <v/>
      </c>
    </row>
    <row r="173" spans="1:13">
      <c r="A173" t="s">
        <v>776</v>
      </c>
      <c r="D173" t="str">
        <f>_xlfn.IFNA(VLOOKUP(C173,[2]科目余额表!C:D,2,0),"")</f>
        <v/>
      </c>
    </row>
    <row r="174" spans="1:13">
      <c r="A174" t="s">
        <v>4773</v>
      </c>
      <c r="B174" t="s">
        <v>4331</v>
      </c>
      <c r="C174" t="s">
        <v>4449</v>
      </c>
      <c r="D174" t="str">
        <f>_xlfn.IFNA(VLOOKUP(C174,[2]科目余额表!C:D,2,0),"")</f>
        <v/>
      </c>
      <c r="K174" s="288">
        <f>本期TB!H189</f>
        <v>0</v>
      </c>
    </row>
    <row r="175" spans="1:13">
      <c r="A175" t="s">
        <v>4774</v>
      </c>
      <c r="B175" t="s">
        <v>4331</v>
      </c>
      <c r="C175" t="s">
        <v>4450</v>
      </c>
      <c r="D175" t="str">
        <f>_xlfn.IFNA(VLOOKUP(C175,[2]科目余额表!C:D,2,0),"")</f>
        <v/>
      </c>
      <c r="K175" s="288">
        <f>-薪酬校验表!B3</f>
        <v>0</v>
      </c>
    </row>
    <row r="176" spans="1:13">
      <c r="A176" t="s">
        <v>4775</v>
      </c>
      <c r="B176" t="s">
        <v>4331</v>
      </c>
      <c r="D176" t="str">
        <f>_xlfn.IFNA(VLOOKUP(C176,[2]科目余额表!C:D,2,0),"")</f>
        <v/>
      </c>
      <c r="K176" s="288">
        <f>-折旧及摊销校验表!B5-折旧及摊销校验表!B29-折旧及摊销校验表!B43</f>
        <v>0</v>
      </c>
    </row>
    <row r="177" spans="1:11">
      <c r="C177" t="s">
        <v>4451</v>
      </c>
      <c r="D177" t="str">
        <f>_xlfn.IFNA(VLOOKUP(C177,[2]科目余额表!C:D,2,0),"")</f>
        <v/>
      </c>
    </row>
    <row r="178" spans="1:11">
      <c r="C178" t="s">
        <v>4452</v>
      </c>
      <c r="D178" t="str">
        <f>_xlfn.IFNA(VLOOKUP(C178,[2]科目余额表!C:D,2,0),"")</f>
        <v/>
      </c>
    </row>
    <row r="179" spans="1:11">
      <c r="D179" t="str">
        <f>_xlfn.IFNA(VLOOKUP(C179,[2]科目余额表!C:D,2,0),"")</f>
        <v/>
      </c>
    </row>
    <row r="180" spans="1:11">
      <c r="D180" t="str">
        <f>_xlfn.IFNA(VLOOKUP(C180,[2]科目余额表!C:D,2,0),"")</f>
        <v/>
      </c>
    </row>
    <row r="181" spans="1:11">
      <c r="D181" t="str">
        <f>_xlfn.IFNA(VLOOKUP(C181,[2]科目余额表!C:D,2,0),"")</f>
        <v/>
      </c>
    </row>
    <row r="182" spans="1:11">
      <c r="D182" t="str">
        <f>_xlfn.IFNA(VLOOKUP(C182,[2]科目余额表!C:D,2,0),"")</f>
        <v/>
      </c>
    </row>
    <row r="183" spans="1:11">
      <c r="D183" t="str">
        <f>_xlfn.IFNA(VLOOKUP(C183,[2]科目余额表!C:D,2,0),"")</f>
        <v/>
      </c>
    </row>
    <row r="184" spans="1:11">
      <c r="D184" t="str">
        <f>_xlfn.IFNA(VLOOKUP(C184,[2]科目余额表!C:D,2,0),"")</f>
        <v/>
      </c>
    </row>
    <row r="185" spans="1:11">
      <c r="D185" t="str">
        <f>_xlfn.IFNA(VLOOKUP(C185,[2]科目余额表!C:D,2,0),"")</f>
        <v/>
      </c>
    </row>
    <row r="186" spans="1:11">
      <c r="D186" t="str">
        <f>_xlfn.IFNA(VLOOKUP(C186,[2]科目余额表!C:D,2,0),"")</f>
        <v/>
      </c>
    </row>
    <row r="187" spans="1:11">
      <c r="A187" t="s">
        <v>777</v>
      </c>
      <c r="D187" t="str">
        <f>_xlfn.IFNA(VLOOKUP(C187,[2]科目余额表!C:D,2,0),"")</f>
        <v/>
      </c>
      <c r="K187" s="288">
        <f>本期TB!H190</f>
        <v>0</v>
      </c>
    </row>
    <row r="188" spans="1:11">
      <c r="A188" t="s">
        <v>4774</v>
      </c>
      <c r="B188" t="s">
        <v>4331</v>
      </c>
      <c r="C188" t="s">
        <v>4453</v>
      </c>
      <c r="D188" t="str">
        <f>_xlfn.IFNA(VLOOKUP(C188,[2]科目余额表!C:D,2,0),"")</f>
        <v/>
      </c>
      <c r="K188" s="288">
        <f>-薪酬校验表!B2</f>
        <v>0</v>
      </c>
    </row>
    <row r="189" spans="1:11">
      <c r="A189" t="s">
        <v>4775</v>
      </c>
      <c r="B189" t="s">
        <v>4331</v>
      </c>
      <c r="C189" t="s">
        <v>4454</v>
      </c>
      <c r="D189" t="str">
        <f>_xlfn.IFNA(VLOOKUP(C189,[2]科目余额表!C:D,2,0),"")</f>
        <v/>
      </c>
      <c r="K189" s="288">
        <f>-(折旧及摊销校验表!B4+折旧及摊销校验表!B28+折旧及摊销校验表!B42)</f>
        <v>0</v>
      </c>
    </row>
    <row r="190" spans="1:11">
      <c r="B190" t="s">
        <v>4331</v>
      </c>
      <c r="C190" t="s">
        <v>4455</v>
      </c>
      <c r="D190" t="str">
        <f>_xlfn.IFNA(VLOOKUP(C190,[2]科目余额表!C:D,2,0),"")</f>
        <v/>
      </c>
    </row>
    <row r="191" spans="1:11">
      <c r="B191" t="s">
        <v>4331</v>
      </c>
      <c r="C191" t="s">
        <v>4456</v>
      </c>
      <c r="D191" t="str">
        <f>_xlfn.IFNA(VLOOKUP(C191,[2]科目余额表!C:D,2,0),"")</f>
        <v/>
      </c>
    </row>
    <row r="192" spans="1:11">
      <c r="B192" t="s">
        <v>4331</v>
      </c>
      <c r="C192" t="s">
        <v>4457</v>
      </c>
      <c r="D192" t="str">
        <f>_xlfn.IFNA(VLOOKUP(C192,[2]科目余额表!C:D,2,0),"")</f>
        <v/>
      </c>
    </row>
    <row r="193" spans="1:11">
      <c r="B193" t="s">
        <v>4331</v>
      </c>
      <c r="C193" t="s">
        <v>4458</v>
      </c>
      <c r="D193" t="str">
        <f>_xlfn.IFNA(VLOOKUP(C193,[2]科目余额表!C:D,2,0),"")</f>
        <v/>
      </c>
    </row>
    <row r="194" spans="1:11">
      <c r="B194" t="s">
        <v>4331</v>
      </c>
      <c r="C194" t="s">
        <v>4459</v>
      </c>
      <c r="D194" t="str">
        <f>_xlfn.IFNA(VLOOKUP(C194,[2]科目余额表!C:D,2,0),"")</f>
        <v/>
      </c>
    </row>
    <row r="195" spans="1:11">
      <c r="B195" t="s">
        <v>4331</v>
      </c>
      <c r="C195" t="s">
        <v>4460</v>
      </c>
      <c r="D195" t="str">
        <f>_xlfn.IFNA(VLOOKUP(C195,[2]科目余额表!C:D,2,0),"")</f>
        <v/>
      </c>
    </row>
    <row r="196" spans="1:11">
      <c r="B196" t="s">
        <v>4331</v>
      </c>
      <c r="C196" t="s">
        <v>4461</v>
      </c>
      <c r="D196" t="str">
        <f>_xlfn.IFNA(VLOOKUP(C196,[2]科目余额表!C:D,2,0),"")</f>
        <v/>
      </c>
    </row>
    <row r="197" spans="1:11">
      <c r="A197" t="s">
        <v>4776</v>
      </c>
      <c r="B197" t="s">
        <v>4331</v>
      </c>
      <c r="C197" t="s">
        <v>4462</v>
      </c>
      <c r="D197" t="str">
        <f>_xlfn.IFNA(VLOOKUP(C197,[2]科目余额表!C:D,2,0),"")</f>
        <v/>
      </c>
      <c r="K197" s="288">
        <f>本期TB!H191</f>
        <v>0</v>
      </c>
    </row>
    <row r="198" spans="1:11">
      <c r="A198" t="s">
        <v>4774</v>
      </c>
      <c r="B198" t="s">
        <v>4331</v>
      </c>
      <c r="C198" t="s">
        <v>4463</v>
      </c>
      <c r="D198" t="str">
        <f>_xlfn.IFNA(VLOOKUP(C198,[2]科目余额表!C:D,2,0),"")</f>
        <v/>
      </c>
      <c r="K198" s="288">
        <f>-折旧及摊销校验表!B6-折旧及摊销校验表!B45-折旧及摊销校验表!B31</f>
        <v>0</v>
      </c>
    </row>
    <row r="199" spans="1:11">
      <c r="A199" t="s">
        <v>4775</v>
      </c>
      <c r="B199" t="s">
        <v>4331</v>
      </c>
      <c r="C199" t="s">
        <v>4464</v>
      </c>
      <c r="D199" t="str">
        <f>_xlfn.IFNA(VLOOKUP(C199,[2]科目余额表!C:D,2,0),"")</f>
        <v/>
      </c>
    </row>
    <row r="200" spans="1:11">
      <c r="B200" t="s">
        <v>4331</v>
      </c>
      <c r="D200" t="str">
        <f>_xlfn.IFNA(VLOOKUP(C200,[2]科目余额表!C:D,2,0),"")</f>
        <v/>
      </c>
    </row>
    <row r="201" spans="1:11">
      <c r="B201" t="s">
        <v>4331</v>
      </c>
      <c r="C201" t="s">
        <v>4465</v>
      </c>
      <c r="D201" t="str">
        <f>_xlfn.IFNA(VLOOKUP(C201,[2]科目余额表!C:D,2,0),"")</f>
        <v/>
      </c>
    </row>
    <row r="202" spans="1:11">
      <c r="B202" t="s">
        <v>4331</v>
      </c>
      <c r="C202" t="s">
        <v>4466</v>
      </c>
      <c r="D202" t="str">
        <f>_xlfn.IFNA(VLOOKUP(C202,[2]科目余额表!C:D,2,0),"")</f>
        <v/>
      </c>
    </row>
    <row r="203" spans="1:11">
      <c r="B203" t="s">
        <v>4331</v>
      </c>
      <c r="C203" t="s">
        <v>4467</v>
      </c>
      <c r="D203" t="str">
        <f>_xlfn.IFNA(VLOOKUP(C203,[2]科目余额表!C:D,2,0),"")</f>
        <v/>
      </c>
    </row>
    <row r="204" spans="1:11">
      <c r="B204" t="s">
        <v>4331</v>
      </c>
      <c r="D204" t="str">
        <f>_xlfn.IFNA(VLOOKUP(C204,[2]科目余额表!C:D,2,0),"")</f>
        <v/>
      </c>
    </row>
    <row r="205" spans="1:11">
      <c r="B205" t="s">
        <v>4331</v>
      </c>
      <c r="D205" t="str">
        <f>_xlfn.IFNA(VLOOKUP(C205,[2]科目余额表!C:D,2,0),"")</f>
        <v/>
      </c>
    </row>
    <row r="206" spans="1:11">
      <c r="B206" t="s">
        <v>4331</v>
      </c>
      <c r="D206" t="str">
        <f>_xlfn.IFNA(VLOOKUP(C206,[2]科目余额表!C:D,2,0),"")</f>
        <v/>
      </c>
    </row>
    <row r="207" spans="1:11">
      <c r="D207" t="str">
        <f>_xlfn.IFNA(VLOOKUP(C207,[2]科目余额表!C:D,2,0),"")</f>
        <v/>
      </c>
    </row>
    <row r="208" spans="1:11">
      <c r="D208" t="str">
        <f>_xlfn.IFNA(VLOOKUP(C208,[2]科目余额表!C:D,2,0),"")</f>
        <v/>
      </c>
    </row>
    <row r="209" spans="1:11">
      <c r="A209" t="s">
        <v>4468</v>
      </c>
      <c r="B209" t="s">
        <v>4331</v>
      </c>
      <c r="C209" t="s">
        <v>4469</v>
      </c>
      <c r="D209" t="str">
        <f>_xlfn.IFNA(VLOOKUP(C209,[2]科目余额表!C:D,2,0),"")</f>
        <v/>
      </c>
      <c r="K209" s="288">
        <f>财务费用!B9</f>
        <v>0</v>
      </c>
    </row>
    <row r="210" spans="1:11">
      <c r="A210" t="s">
        <v>4470</v>
      </c>
      <c r="B210" t="s">
        <v>4331</v>
      </c>
      <c r="C210" t="s">
        <v>3119</v>
      </c>
      <c r="D210" t="str">
        <f>_xlfn.IFNA(VLOOKUP(C210,[2]科目余额表!C:D,2,0),"")</f>
        <v/>
      </c>
    </row>
    <row r="211" spans="1:11">
      <c r="A211" t="s">
        <v>4471</v>
      </c>
      <c r="B211" t="s">
        <v>4331</v>
      </c>
      <c r="C211" t="s">
        <v>3120</v>
      </c>
      <c r="D211" t="str">
        <f>_xlfn.IFNA(VLOOKUP(C211,[2]科目余额表!C:D,2,0),"")</f>
        <v/>
      </c>
    </row>
    <row r="212" spans="1:11">
      <c r="A212" t="s">
        <v>4472</v>
      </c>
      <c r="B212" t="s">
        <v>4331</v>
      </c>
      <c r="C212" t="s">
        <v>4473</v>
      </c>
      <c r="D212" t="str">
        <f>_xlfn.IFNA(VLOOKUP(C212,[2]科目余额表!C:D,2,0),"")</f>
        <v/>
      </c>
    </row>
    <row r="213" spans="1:11">
      <c r="A213" t="s">
        <v>4474</v>
      </c>
      <c r="D213" t="str">
        <f>_xlfn.IFNA(VLOOKUP(C213,[2]科目余额表!C:D,2,0),"")</f>
        <v/>
      </c>
    </row>
    <row r="214" spans="1:11">
      <c r="A214" t="s">
        <v>2238</v>
      </c>
      <c r="D214" t="str">
        <f>_xlfn.IFNA(VLOOKUP(C214,[2]科目余额表!C:D,2,0),"")</f>
        <v/>
      </c>
    </row>
    <row r="215" spans="1:11">
      <c r="A215" t="s">
        <v>4377</v>
      </c>
      <c r="D215" t="str">
        <f>_xlfn.IFNA(VLOOKUP(C215,[2]科目余额表!C:D,2,0),"")</f>
        <v/>
      </c>
    </row>
    <row r="216" spans="1:11">
      <c r="A216" t="s">
        <v>4378</v>
      </c>
      <c r="D216" t="str">
        <f>_xlfn.IFNA(VLOOKUP(C216,[2]科目余额表!C:D,2,0),"")</f>
        <v/>
      </c>
    </row>
    <row r="217" spans="1:11">
      <c r="A217" t="s">
        <v>10</v>
      </c>
      <c r="D217" t="str">
        <f>_xlfn.IFNA(VLOOKUP(C217,[2]科目余额表!C:D,2,0),"")</f>
        <v/>
      </c>
    </row>
    <row r="218" spans="1:11">
      <c r="A218" t="s">
        <v>4777</v>
      </c>
      <c r="B218" t="s">
        <v>4314</v>
      </c>
      <c r="C218" t="s">
        <v>4475</v>
      </c>
      <c r="D218" t="str">
        <f>_xlfn.IFNA(VLOOKUP(C218,[3]科目余额表!C:D,2,0),"")</f>
        <v/>
      </c>
      <c r="K218" s="229">
        <f>本期TB!H29</f>
        <v>0</v>
      </c>
    </row>
    <row r="219" spans="1:11">
      <c r="A219" t="s">
        <v>4778</v>
      </c>
      <c r="B219" t="s">
        <v>4316</v>
      </c>
      <c r="C219" t="s">
        <v>4475</v>
      </c>
      <c r="D219" t="str">
        <f>_xlfn.IFNA(VLOOKUP(C219,[3]科目余额表!C:D,2,0),"")</f>
        <v/>
      </c>
      <c r="K219" s="229">
        <f>-上期TB!H29</f>
        <v>0</v>
      </c>
    </row>
    <row r="220" spans="1:11">
      <c r="A220" t="s">
        <v>4779</v>
      </c>
      <c r="B220" t="s">
        <v>4316</v>
      </c>
      <c r="C220" t="s">
        <v>4476</v>
      </c>
      <c r="D220" t="str">
        <f>_xlfn.IFNA(VLOOKUP(C220,[3]科目余额表!C:D,2,0),"")</f>
        <v/>
      </c>
      <c r="K220" s="229">
        <f>上期TB!H128</f>
        <v>0</v>
      </c>
    </row>
    <row r="221" spans="1:11">
      <c r="A221" t="s">
        <v>4780</v>
      </c>
      <c r="B221" t="s">
        <v>4314</v>
      </c>
      <c r="C221" t="s">
        <v>4476</v>
      </c>
      <c r="D221" t="str">
        <f>_xlfn.IFNA(VLOOKUP(C221,[3]科目余额表!C:D,2,0),"")</f>
        <v/>
      </c>
      <c r="K221" s="229">
        <f>-本期TB!H128</f>
        <v>0</v>
      </c>
    </row>
    <row r="222" spans="1:11">
      <c r="A222" t="s">
        <v>4477</v>
      </c>
    </row>
    <row r="223" spans="1:11">
      <c r="A223" t="s">
        <v>4478</v>
      </c>
    </row>
    <row r="224" spans="1:11">
      <c r="A224" s="621" t="s">
        <v>202</v>
      </c>
      <c r="B224" s="621"/>
      <c r="C224" s="621"/>
      <c r="D224" s="621" t="str">
        <f>_xlfn.IFNA(VLOOKUP(C224,[3]科目余额表!C:D,2,0),"")</f>
        <v/>
      </c>
      <c r="E224" s="621"/>
      <c r="F224" s="621"/>
      <c r="G224" s="621"/>
      <c r="H224" s="621"/>
      <c r="I224" s="621"/>
      <c r="J224" s="621"/>
      <c r="K224" s="622">
        <f>K31+K41+K83-K130-K150-K171+K238+K244+K259+K266+K273-K296-K311-K317-K325+K332+K340+K346-K357-K365-K373-SUM(K173:K223)-SUM(K225:K226)+K380-K386</f>
        <v>0</v>
      </c>
    </row>
    <row r="225" spans="1:13">
      <c r="A225" t="s">
        <v>94</v>
      </c>
      <c r="B225" t="s">
        <v>4316</v>
      </c>
      <c r="C225" t="s">
        <v>4479</v>
      </c>
      <c r="D225" t="str">
        <f>_xlfn.IFNA(VLOOKUP(C225,[2]科目余额表!C:D,2,0),"")</f>
        <v/>
      </c>
    </row>
    <row r="226" spans="1:13">
      <c r="A226" t="s">
        <v>4480</v>
      </c>
      <c r="B226" t="s">
        <v>4314</v>
      </c>
      <c r="C226" t="s">
        <v>4479</v>
      </c>
      <c r="D226" t="str">
        <f>_xlfn.IFNA(VLOOKUP(C226,[2]科目余额表!C:D,2,0),"")</f>
        <v/>
      </c>
    </row>
    <row r="227" spans="1:13">
      <c r="D227" t="str">
        <f>_xlfn.IFNA(VLOOKUP(C227,[2]科目余额表!C:D,2,0),"")</f>
        <v/>
      </c>
    </row>
    <row r="228" spans="1:13">
      <c r="A228" s="261" t="s">
        <v>4481</v>
      </c>
      <c r="B228" s="261"/>
      <c r="C228" s="261"/>
      <c r="D228" s="261" t="str">
        <f>_xlfn.IFNA(VLOOKUP(C228,[2]科目余额表!C:D,2,0),"")</f>
        <v/>
      </c>
      <c r="E228" s="261">
        <f>SUM(E174:E227)</f>
        <v>0</v>
      </c>
      <c r="F228" s="261">
        <f t="shared" ref="F228:K228" si="11">SUM(F174:F227)</f>
        <v>0</v>
      </c>
      <c r="G228" s="261">
        <f t="shared" si="11"/>
        <v>0</v>
      </c>
      <c r="H228" s="261">
        <f t="shared" si="11"/>
        <v>0</v>
      </c>
      <c r="I228" s="261">
        <f t="shared" si="11"/>
        <v>0</v>
      </c>
      <c r="J228" s="261">
        <f t="shared" si="11"/>
        <v>0</v>
      </c>
      <c r="K228" s="263">
        <f t="shared" si="11"/>
        <v>0</v>
      </c>
    </row>
    <row r="229" spans="1:13">
      <c r="D229" t="str">
        <f>_xlfn.IFNA(VLOOKUP(C229,[2]科目余额表!C:D,2,0),"")</f>
        <v/>
      </c>
    </row>
    <row r="230" spans="1:13">
      <c r="D230" t="str">
        <f>_xlfn.IFNA(VLOOKUP(C230,[2]科目余额表!C:D,2,0),"")</f>
        <v/>
      </c>
    </row>
    <row r="231" spans="1:13">
      <c r="A231" t="s">
        <v>4482</v>
      </c>
      <c r="D231" t="str">
        <f>_xlfn.IFNA(VLOOKUP(C231,[2]科目余额表!C:D,2,0),"")</f>
        <v/>
      </c>
      <c r="L231" s="261"/>
      <c r="M231" s="261"/>
    </row>
    <row r="232" spans="1:13">
      <c r="A232" t="s">
        <v>4483</v>
      </c>
      <c r="D232" t="str">
        <f>_xlfn.IFNA(VLOOKUP(C232,[2]科目余额表!C:D,2,0),"")</f>
        <v/>
      </c>
    </row>
    <row r="233" spans="1:13">
      <c r="A233" t="s">
        <v>4484</v>
      </c>
      <c r="D233" t="str">
        <f>_xlfn.IFNA(VLOOKUP(C233,[2]科目余额表!C:D,2,0),"")</f>
        <v/>
      </c>
    </row>
    <row r="234" spans="1:13">
      <c r="A234" t="s">
        <v>4485</v>
      </c>
      <c r="D234" t="str">
        <f>_xlfn.IFNA(VLOOKUP(C234,[2]科目余额表!C:D,2,0),"")</f>
        <v/>
      </c>
    </row>
    <row r="235" spans="1:13">
      <c r="A235" t="s">
        <v>4486</v>
      </c>
      <c r="D235" t="str">
        <f>_xlfn.IFNA(VLOOKUP(C235,[2]科目余额表!C:D,2,0),"")</f>
        <v/>
      </c>
    </row>
    <row r="236" spans="1:13">
      <c r="D236" t="str">
        <f>_xlfn.IFNA(VLOOKUP(C236,[2]科目余额表!C:D,2,0),"")</f>
        <v/>
      </c>
    </row>
    <row r="237" spans="1:13">
      <c r="D237" t="str">
        <f>_xlfn.IFNA(VLOOKUP(C237,[2]科目余额表!C:D,2,0),"")</f>
        <v/>
      </c>
    </row>
    <row r="238" spans="1:13">
      <c r="A238" s="261" t="s">
        <v>4487</v>
      </c>
      <c r="B238" s="261"/>
      <c r="C238" s="261"/>
      <c r="D238" s="261" t="str">
        <f>_xlfn.IFNA(VLOOKUP(C238,[2]科目余额表!C:D,2,0),"")</f>
        <v/>
      </c>
      <c r="E238" s="261">
        <f>SUM(E231:E237)</f>
        <v>0</v>
      </c>
      <c r="F238" s="261">
        <f t="shared" ref="F238:K238" si="12">SUM(F231:F237)</f>
        <v>0</v>
      </c>
      <c r="G238" s="261">
        <f t="shared" si="12"/>
        <v>0</v>
      </c>
      <c r="H238" s="261">
        <f t="shared" si="12"/>
        <v>0</v>
      </c>
      <c r="I238" s="261">
        <f t="shared" si="12"/>
        <v>0</v>
      </c>
      <c r="J238" s="261">
        <f t="shared" si="12"/>
        <v>0</v>
      </c>
      <c r="K238" s="263">
        <f t="shared" si="12"/>
        <v>0</v>
      </c>
    </row>
    <row r="239" spans="1:13">
      <c r="D239" t="str">
        <f>_xlfn.IFNA(VLOOKUP(C239,[2]科目余额表!C:D,2,0),"")</f>
        <v/>
      </c>
    </row>
    <row r="240" spans="1:13">
      <c r="A240" t="s">
        <v>4488</v>
      </c>
      <c r="D240" t="str">
        <f>_xlfn.IFNA(VLOOKUP(C240,[2]科目余额表!C:D,2,0),"")</f>
        <v/>
      </c>
    </row>
    <row r="241" spans="1:13">
      <c r="A241" t="s">
        <v>4489</v>
      </c>
      <c r="D241" t="str">
        <f>_xlfn.IFNA(VLOOKUP(C241,[2]科目余额表!C:D,2,0),"")</f>
        <v/>
      </c>
      <c r="L241" s="261"/>
      <c r="M241" s="261"/>
    </row>
    <row r="242" spans="1:13">
      <c r="A242" t="s">
        <v>4490</v>
      </c>
      <c r="D242" t="str">
        <f>_xlfn.IFNA(VLOOKUP(C242,[2]科目余额表!C:D,2,0),"")</f>
        <v/>
      </c>
    </row>
    <row r="243" spans="1:13">
      <c r="D243" t="str">
        <f>_xlfn.IFNA(VLOOKUP(C243,[2]科目余额表!C:D,2,0),"")</f>
        <v/>
      </c>
    </row>
    <row r="244" spans="1:13">
      <c r="A244" s="261" t="s">
        <v>4491</v>
      </c>
      <c r="B244" s="261"/>
      <c r="C244" s="261"/>
      <c r="D244" s="261" t="str">
        <f>_xlfn.IFNA(VLOOKUP(C244,[2]科目余额表!C:D,2,0),"")</f>
        <v/>
      </c>
      <c r="E244" s="261">
        <f>SUM(E240:E243)</f>
        <v>0</v>
      </c>
      <c r="F244" s="261">
        <f t="shared" ref="F244:K244" si="13">SUM(F240:F243)</f>
        <v>0</v>
      </c>
      <c r="G244" s="261">
        <f t="shared" si="13"/>
        <v>0</v>
      </c>
      <c r="H244" s="261">
        <f t="shared" si="13"/>
        <v>0</v>
      </c>
      <c r="I244" s="261">
        <f t="shared" si="13"/>
        <v>0</v>
      </c>
      <c r="J244" s="261">
        <f t="shared" si="13"/>
        <v>0</v>
      </c>
      <c r="K244" s="263">
        <f t="shared" si="13"/>
        <v>0</v>
      </c>
    </row>
    <row r="245" spans="1:13">
      <c r="D245" t="str">
        <f>_xlfn.IFNA(VLOOKUP(C245,[2]科目余额表!C:D,2,0),"")</f>
        <v/>
      </c>
    </row>
    <row r="246" spans="1:13">
      <c r="D246" t="str">
        <f>_xlfn.IFNA(VLOOKUP(C246,[2]科目余额表!C:D,2,0),"")</f>
        <v/>
      </c>
    </row>
    <row r="247" spans="1:13">
      <c r="A247" t="s">
        <v>780</v>
      </c>
      <c r="B247" t="s">
        <v>4307</v>
      </c>
      <c r="D247" t="str">
        <f>_xlfn.IFNA(VLOOKUP(C247,[2]科目余额表!C:D,2,0),"")</f>
        <v/>
      </c>
      <c r="K247" s="288">
        <f>本期TB!H201</f>
        <v>0</v>
      </c>
      <c r="L247" s="261"/>
      <c r="M247" s="261"/>
    </row>
    <row r="248" spans="1:13">
      <c r="A248" t="s">
        <v>4492</v>
      </c>
      <c r="B248" t="s">
        <v>4307</v>
      </c>
      <c r="C248" t="s">
        <v>4493</v>
      </c>
      <c r="D248" t="str">
        <f>_xlfn.IFNA(VLOOKUP(C248,[2]科目余额表!C:D,2,0),"")</f>
        <v/>
      </c>
      <c r="K248" s="288">
        <f>_xlfn.IFNA(VLOOKUP("非流动资产毁损报废利得",营业外收入!A:B,2,0),0)</f>
        <v>0</v>
      </c>
    </row>
    <row r="249" spans="1:13">
      <c r="A249" t="s">
        <v>4494</v>
      </c>
      <c r="B249" t="s">
        <v>4331</v>
      </c>
      <c r="C249" t="s">
        <v>4495</v>
      </c>
      <c r="D249" t="str">
        <f>_xlfn.IFNA(VLOOKUP(C249,[2]科目余额表!C:D,2,0),"")</f>
        <v/>
      </c>
      <c r="K249" s="288">
        <f>-_xlfn.IFNA(VLOOKUP("非流动资产毁损报废损失",营业外支出!A:C,2,0),0)</f>
        <v>0</v>
      </c>
    </row>
    <row r="250" spans="1:13">
      <c r="A250" t="s">
        <v>89</v>
      </c>
      <c r="B250" t="s">
        <v>4307</v>
      </c>
      <c r="C250" t="s">
        <v>4496</v>
      </c>
      <c r="D250" t="str">
        <f>_xlfn.IFNA(VLOOKUP(C250,[2]科目余额表!C:D,2,0),"")</f>
        <v/>
      </c>
      <c r="K250" s="288">
        <f>SUMIF(固定资产明细表!I:I,"原值本期减少处置",固定资产明细表!F:F)+SUMIF(固定资产明细表!I:I,"原值本期减少报废、毁损",固定资产明细表!F:F)</f>
        <v>0</v>
      </c>
    </row>
    <row r="251" spans="1:13">
      <c r="A251" t="s">
        <v>4497</v>
      </c>
      <c r="B251" t="s">
        <v>4331</v>
      </c>
      <c r="C251" t="s">
        <v>4498</v>
      </c>
      <c r="D251" t="str">
        <f>_xlfn.IFNA(VLOOKUP(C251,[2]科目余额表!C:D,2,0),"")</f>
        <v/>
      </c>
      <c r="K251" s="288">
        <f>-SUMIF(固定资产明细表!I:I,"累计折旧本期减少处置",固定资产明细表!F:F)-SUMIF(固定资产明细表!I:I,"累计折旧本期减少报废、毁损",固定资产明细表!F:F)</f>
        <v>0</v>
      </c>
    </row>
    <row r="252" spans="1:13">
      <c r="A252" t="s">
        <v>4499</v>
      </c>
      <c r="B252" t="s">
        <v>4331</v>
      </c>
      <c r="D252" t="str">
        <f>_xlfn.IFNA(VLOOKUP(C252,[2]科目余额表!C:D,2,0),"")</f>
        <v/>
      </c>
      <c r="K252" s="288">
        <f>-SUMIF(固定资产明细表!I:I,"减值准备本期减少处置",固定资产明细表!F:F)-SUMIF(固定资产明细表!I:I,"减值准备本期减少报废、毁损",固定资产明细表!F:F)</f>
        <v>0</v>
      </c>
    </row>
    <row r="253" spans="1:13">
      <c r="A253" t="s">
        <v>90</v>
      </c>
      <c r="B253" t="s">
        <v>4307</v>
      </c>
      <c r="D253" t="str">
        <f>_xlfn.IFNA(VLOOKUP(C253,[2]科目余额表!C:D,2,0),"")</f>
        <v/>
      </c>
      <c r="K253" s="288">
        <f>SUMIF(无形资产明细表!I:I,"原值本期减少出售",无形资产明细表!F:F)+SUMIF(无形资产明细表!I:I,"原值本期减少报废、毁损",无形资产明细表!F:F)</f>
        <v>0</v>
      </c>
    </row>
    <row r="254" spans="1:13">
      <c r="A254" t="s">
        <v>4500</v>
      </c>
      <c r="B254" t="s">
        <v>4331</v>
      </c>
      <c r="D254" t="str">
        <f>_xlfn.IFNA(VLOOKUP(C254,[2]科目余额表!C:D,2,0),"")</f>
        <v/>
      </c>
      <c r="K254" s="288">
        <f>-SUMIF(无形资产明细表!I:I,"累计折旧本期减少出售",无形资产明细表!F:F)-SUMIF(无形资产明细表!I:I,"累计折旧本期减少报废、毁损",无形资产明细表!F:F)</f>
        <v>0</v>
      </c>
    </row>
    <row r="255" spans="1:13">
      <c r="A255" t="s">
        <v>4501</v>
      </c>
      <c r="D255" t="str">
        <f>_xlfn.IFNA(VLOOKUP(C255,[2]科目余额表!C:D,2,0),"")</f>
        <v/>
      </c>
    </row>
    <row r="256" spans="1:13">
      <c r="A256" t="s">
        <v>4502</v>
      </c>
      <c r="D256" t="str">
        <f>_xlfn.IFNA(VLOOKUP(C256,[2]科目余额表!C:D,2,0),"")</f>
        <v/>
      </c>
    </row>
    <row r="257" spans="1:13">
      <c r="A257" t="s">
        <v>4781</v>
      </c>
      <c r="D257" t="str">
        <f>_xlfn.IFNA(VLOOKUP(C257,[2]科目余额表!C:D,2,0),"")</f>
        <v/>
      </c>
      <c r="K257" s="288">
        <f>应交增值税计提!B4</f>
        <v>0</v>
      </c>
    </row>
    <row r="258" spans="1:13">
      <c r="D258" t="str">
        <f>_xlfn.IFNA(VLOOKUP(C258,[2]科目余额表!C:D,2,0),"")</f>
        <v/>
      </c>
    </row>
    <row r="259" spans="1:13">
      <c r="A259" s="261" t="s">
        <v>4503</v>
      </c>
      <c r="B259" s="261"/>
      <c r="C259" s="261"/>
      <c r="D259" s="261" t="str">
        <f>_xlfn.IFNA(VLOOKUP(C259,[2]科目余额表!C:D,2,0),"")</f>
        <v/>
      </c>
      <c r="E259" s="261">
        <f>SUM(E247:E258)</f>
        <v>0</v>
      </c>
      <c r="F259" s="261">
        <f t="shared" ref="F259:J259" si="14">SUM(F247:F258)</f>
        <v>0</v>
      </c>
      <c r="G259" s="261">
        <f t="shared" si="14"/>
        <v>0</v>
      </c>
      <c r="H259" s="261">
        <f t="shared" si="14"/>
        <v>0</v>
      </c>
      <c r="I259" s="261">
        <f t="shared" si="14"/>
        <v>0</v>
      </c>
      <c r="J259" s="261">
        <f t="shared" si="14"/>
        <v>0</v>
      </c>
      <c r="K259" s="263">
        <f>SUM(K247:K258)</f>
        <v>0</v>
      </c>
    </row>
    <row r="260" spans="1:13">
      <c r="D260" t="str">
        <f>_xlfn.IFNA(VLOOKUP(C260,[2]科目余额表!C:D,2,0),"")</f>
        <v/>
      </c>
    </row>
    <row r="261" spans="1:13">
      <c r="D261" t="str">
        <f>_xlfn.IFNA(VLOOKUP(C261,[2]科目余额表!C:D,2,0),"")</f>
        <v/>
      </c>
    </row>
    <row r="262" spans="1:13">
      <c r="A262" t="s">
        <v>4504</v>
      </c>
      <c r="D262" t="str">
        <f>_xlfn.IFNA(VLOOKUP(C262,[2]科目余额表!C:D,2,0),"")</f>
        <v/>
      </c>
      <c r="L262" s="261"/>
      <c r="M262" s="261"/>
    </row>
    <row r="263" spans="1:13">
      <c r="A263" t="s">
        <v>4505</v>
      </c>
      <c r="D263" t="str">
        <f>_xlfn.IFNA(VLOOKUP(C263,[2]科目余额表!C:D,2,0),"")</f>
        <v/>
      </c>
    </row>
    <row r="264" spans="1:13">
      <c r="A264" t="s">
        <v>4506</v>
      </c>
      <c r="D264" t="str">
        <f>_xlfn.IFNA(VLOOKUP(C264,[2]科目余额表!C:D,2,0),"")</f>
        <v/>
      </c>
    </row>
    <row r="265" spans="1:13">
      <c r="D265" t="str">
        <f>_xlfn.IFNA(VLOOKUP(C265,[2]科目余额表!C:D,2,0),"")</f>
        <v/>
      </c>
    </row>
    <row r="266" spans="1:13">
      <c r="A266" s="261" t="s">
        <v>4507</v>
      </c>
      <c r="B266" s="261"/>
      <c r="C266" s="261"/>
      <c r="D266" s="261" t="str">
        <f>_xlfn.IFNA(VLOOKUP(C266,[2]科目余额表!C:D,2,0),"")</f>
        <v/>
      </c>
      <c r="E266" s="261">
        <f>SUM(E262:E265)</f>
        <v>0</v>
      </c>
      <c r="F266" s="261">
        <f t="shared" ref="F266:K266" si="15">SUM(F262:F265)</f>
        <v>0</v>
      </c>
      <c r="G266" s="261">
        <f t="shared" si="15"/>
        <v>0</v>
      </c>
      <c r="H266" s="261">
        <f t="shared" si="15"/>
        <v>0</v>
      </c>
      <c r="I266" s="261">
        <f t="shared" si="15"/>
        <v>0</v>
      </c>
      <c r="J266" s="261">
        <f t="shared" si="15"/>
        <v>0</v>
      </c>
      <c r="K266" s="263">
        <f t="shared" si="15"/>
        <v>0</v>
      </c>
    </row>
    <row r="267" spans="1:13">
      <c r="D267" t="str">
        <f>_xlfn.IFNA(VLOOKUP(C267,[2]科目余额表!C:D,2,0),"")</f>
        <v/>
      </c>
    </row>
    <row r="268" spans="1:13">
      <c r="A268" t="s">
        <v>4508</v>
      </c>
      <c r="D268" t="str">
        <f>_xlfn.IFNA(VLOOKUP(C268,[2]科目余额表!C:D,2,0),"")</f>
        <v/>
      </c>
    </row>
    <row r="269" spans="1:13">
      <c r="A269" t="s">
        <v>4509</v>
      </c>
      <c r="D269" t="str">
        <f>_xlfn.IFNA(VLOOKUP(C269,[2]科目余额表!C:D,2,0),"")</f>
        <v/>
      </c>
      <c r="L269" s="261"/>
      <c r="M269" s="261"/>
    </row>
    <row r="270" spans="1:13">
      <c r="A270" t="s">
        <v>4510</v>
      </c>
      <c r="D270" t="str">
        <f>_xlfn.IFNA(VLOOKUP(C270,[2]科目余额表!C:D,2,0),"")</f>
        <v/>
      </c>
    </row>
    <row r="271" spans="1:13">
      <c r="A271" t="s">
        <v>4782</v>
      </c>
      <c r="D271" t="str">
        <f>_xlfn.IFNA(VLOOKUP(C271,[2]科目余额表!C:D,2,0),"")</f>
        <v/>
      </c>
      <c r="K271" s="288">
        <f>财务费用分类表!B2</f>
        <v>0</v>
      </c>
    </row>
    <row r="272" spans="1:13">
      <c r="D272" t="str">
        <f>_xlfn.IFNA(VLOOKUP(C272,[2]科目余额表!C:D,2,0),"")</f>
        <v/>
      </c>
    </row>
    <row r="273" spans="1:13">
      <c r="A273" s="261" t="s">
        <v>4511</v>
      </c>
      <c r="B273" s="261"/>
      <c r="C273" s="261"/>
      <c r="D273" s="261" t="str">
        <f>_xlfn.IFNA(VLOOKUP(C273,[2]科目余额表!C:D,2,0),"")</f>
        <v/>
      </c>
      <c r="E273" s="261">
        <f>SUM(E268:E272)</f>
        <v>0</v>
      </c>
      <c r="F273" s="261">
        <f t="shared" ref="F273:K273" si="16">SUM(F268:F272)</f>
        <v>0</v>
      </c>
      <c r="G273" s="261">
        <f t="shared" si="16"/>
        <v>0</v>
      </c>
      <c r="H273" s="261">
        <f t="shared" si="16"/>
        <v>0</v>
      </c>
      <c r="I273" s="261">
        <f t="shared" si="16"/>
        <v>0</v>
      </c>
      <c r="J273" s="261">
        <f t="shared" si="16"/>
        <v>0</v>
      </c>
      <c r="K273" s="263">
        <f t="shared" si="16"/>
        <v>0</v>
      </c>
    </row>
    <row r="274" spans="1:13">
      <c r="D274" t="str">
        <f>_xlfn.IFNA(VLOOKUP(C274,[2]科目余额表!C:D,2,0),"")</f>
        <v/>
      </c>
    </row>
    <row r="275" spans="1:13">
      <c r="A275" t="s">
        <v>4512</v>
      </c>
      <c r="B275" t="s">
        <v>4331</v>
      </c>
      <c r="C275" t="s">
        <v>4496</v>
      </c>
      <c r="D275" t="str">
        <f>_xlfn.IFNA(VLOOKUP(C275,[2]科目余额表!C:D,2,0),"")</f>
        <v/>
      </c>
      <c r="K275" s="288">
        <f>SUMIF(固定资产明细表!I:I,"原值本期增加外购",固定资产明细表!F:F)</f>
        <v>0</v>
      </c>
    </row>
    <row r="276" spans="1:13">
      <c r="A276" t="s">
        <v>4513</v>
      </c>
      <c r="B276" t="s">
        <v>4331</v>
      </c>
      <c r="C276" t="s">
        <v>4514</v>
      </c>
      <c r="D276" t="str">
        <f>_xlfn.IFNA(VLOOKUP(C276,[2]科目余额表!C:D,2,0),"")</f>
        <v/>
      </c>
      <c r="K276" s="288">
        <f>SUM(在建工程明细表!F:F)</f>
        <v>0</v>
      </c>
      <c r="L276" s="261"/>
      <c r="M276" s="261"/>
    </row>
    <row r="277" spans="1:13">
      <c r="A277" t="s">
        <v>4515</v>
      </c>
      <c r="B277" t="s">
        <v>4331</v>
      </c>
      <c r="D277" t="str">
        <f>_xlfn.IFNA(VLOOKUP(C277,[2]科目余额表!C:D,2,0),"")</f>
        <v/>
      </c>
    </row>
    <row r="278" spans="1:13">
      <c r="A278" t="s">
        <v>4516</v>
      </c>
      <c r="B278" t="s">
        <v>4331</v>
      </c>
      <c r="C278" t="s">
        <v>4517</v>
      </c>
      <c r="D278" t="str">
        <f>_xlfn.IFNA(VLOOKUP(C278,[2]科目余额表!C:D,2,0),"")</f>
        <v/>
      </c>
      <c r="K278" s="288">
        <f>SUMIF(无形资产明细表!I:I,"原值本期增加外购",无形资产明细表!F:F)</f>
        <v>0</v>
      </c>
    </row>
    <row r="279" spans="1:13">
      <c r="A279" t="s">
        <v>4518</v>
      </c>
      <c r="B279" t="s">
        <v>4331</v>
      </c>
      <c r="D279" t="str">
        <f>_xlfn.IFNA(VLOOKUP(C279,[2]科目余额表!C:D,2,0),"")</f>
        <v/>
      </c>
      <c r="K279" s="288">
        <f>SUMIF(生产性生物资产明细表!I:I,"原值本期增加外购",生产性生物资产明细表!F:F)</f>
        <v>0</v>
      </c>
    </row>
    <row r="280" spans="1:13">
      <c r="A280" t="s">
        <v>4519</v>
      </c>
      <c r="B280" t="s">
        <v>4331</v>
      </c>
      <c r="D280" t="str">
        <f>_xlfn.IFNA(VLOOKUP(C280,[2]科目余额表!C:D,2,0),"")</f>
        <v/>
      </c>
    </row>
    <row r="281" spans="1:13">
      <c r="A281" t="s">
        <v>4520</v>
      </c>
      <c r="B281" t="s">
        <v>4331</v>
      </c>
      <c r="D281" t="str">
        <f>_xlfn.IFNA(VLOOKUP(C281,[2]科目余额表!C:D,2,0),"")</f>
        <v/>
      </c>
    </row>
    <row r="282" spans="1:13">
      <c r="A282" t="s">
        <v>4521</v>
      </c>
      <c r="B282" t="s">
        <v>4331</v>
      </c>
      <c r="D282" t="str">
        <f>_xlfn.IFNA(VLOOKUP(C282,[2]科目余额表!C:D,2,0),"")</f>
        <v/>
      </c>
      <c r="K282" s="288">
        <f>VLOOKUP("合计",长期待摊费用!A:G,3,0)</f>
        <v>0</v>
      </c>
    </row>
    <row r="283" spans="1:13">
      <c r="A283" t="s">
        <v>4522</v>
      </c>
      <c r="D283" t="str">
        <f>_xlfn.IFNA(VLOOKUP(C283,[2]科目余额表!C:D,2,0),"")</f>
        <v/>
      </c>
      <c r="K283" s="288">
        <f>-利息资本化校验!B4</f>
        <v>0</v>
      </c>
    </row>
    <row r="284" spans="1:13">
      <c r="A284" t="s">
        <v>4783</v>
      </c>
      <c r="D284" t="str">
        <f>_xlfn.IFNA(VLOOKUP(C284,[2]科目余额表!C:D,2,0),"")</f>
        <v/>
      </c>
      <c r="K284" s="288">
        <f>应交增值税计提!B8</f>
        <v>0</v>
      </c>
    </row>
    <row r="285" spans="1:13">
      <c r="A285" t="s">
        <v>4523</v>
      </c>
      <c r="D285" t="str">
        <f>_xlfn.IFNA(VLOOKUP(C285,[2]科目余额表!C:D,2,0),"")</f>
        <v/>
      </c>
      <c r="K285" s="288">
        <f>-K117</f>
        <v>0</v>
      </c>
    </row>
    <row r="286" spans="1:13">
      <c r="A286" t="s">
        <v>4524</v>
      </c>
      <c r="D286" t="str">
        <f>_xlfn.IFNA(VLOOKUP(C286,[2]科目余额表!C:D,2,0),"")</f>
        <v/>
      </c>
      <c r="K286" s="288">
        <f>-K116</f>
        <v>0</v>
      </c>
    </row>
    <row r="287" spans="1:13">
      <c r="A287" t="s">
        <v>4525</v>
      </c>
      <c r="D287" t="str">
        <f>_xlfn.IFNA(VLOOKUP(C287,[2]科目余额表!C:D,2,0),"")</f>
        <v/>
      </c>
      <c r="K287" s="288">
        <f>-K119</f>
        <v>0</v>
      </c>
    </row>
    <row r="288" spans="1:13">
      <c r="A288" t="s">
        <v>4526</v>
      </c>
      <c r="D288" t="str">
        <f>_xlfn.IFNA(VLOOKUP(C288,[2]科目余额表!C:D,2,0),"")</f>
        <v/>
      </c>
      <c r="K288" s="288">
        <f>-K118</f>
        <v>0</v>
      </c>
    </row>
    <row r="289" spans="1:13">
      <c r="A289" t="s">
        <v>4527</v>
      </c>
      <c r="D289" t="str">
        <f>_xlfn.IFNA(VLOOKUP(C289,[2]科目余额表!C:D,2,0),"")</f>
        <v/>
      </c>
    </row>
    <row r="290" spans="1:13">
      <c r="A290" t="s">
        <v>4528</v>
      </c>
      <c r="D290" t="str">
        <f>_xlfn.IFNA(VLOOKUP(C290,[2]科目余额表!C:D,2,0),"")</f>
        <v/>
      </c>
    </row>
    <row r="291" spans="1:13">
      <c r="A291" t="s">
        <v>4529</v>
      </c>
      <c r="D291" t="str">
        <f>_xlfn.IFNA(VLOOKUP(C291,[2]科目余额表!C:D,2,0),"")</f>
        <v/>
      </c>
    </row>
    <row r="292" spans="1:13">
      <c r="A292" t="s">
        <v>4530</v>
      </c>
      <c r="D292" t="str">
        <f>_xlfn.IFNA(VLOOKUP(C292,[2]科目余额表!C:D,2,0),"")</f>
        <v/>
      </c>
      <c r="K292" s="288">
        <f>-薪酬校验表!B6</f>
        <v>0</v>
      </c>
    </row>
    <row r="293" spans="1:13">
      <c r="A293" t="s">
        <v>4531</v>
      </c>
      <c r="D293" t="str">
        <f>_xlfn.IFNA(VLOOKUP(C293,[2]科目余额表!C:D,2,0),"")</f>
        <v/>
      </c>
      <c r="K293" s="288">
        <f>-折旧及摊销校验表!B9</f>
        <v>0</v>
      </c>
    </row>
    <row r="294" spans="1:13">
      <c r="D294" t="str">
        <f>_xlfn.IFNA(VLOOKUP(C294,[2]科目余额表!C:D,2,0),"")</f>
        <v/>
      </c>
    </row>
    <row r="295" spans="1:13">
      <c r="D295" t="str">
        <f>_xlfn.IFNA(VLOOKUP(C295,[2]科目余额表!C:D,2,0),"")</f>
        <v/>
      </c>
    </row>
    <row r="296" spans="1:13">
      <c r="A296" s="261" t="s">
        <v>4532</v>
      </c>
      <c r="B296" s="261"/>
      <c r="C296" s="261"/>
      <c r="D296" s="261" t="str">
        <f>_xlfn.IFNA(VLOOKUP(C296,[2]科目余额表!C:D,2,0),"")</f>
        <v/>
      </c>
      <c r="E296" s="261">
        <f>SUM(E275:E295)</f>
        <v>0</v>
      </c>
      <c r="F296" s="261">
        <f t="shared" ref="F296:J296" si="17">SUM(F275:F295)</f>
        <v>0</v>
      </c>
      <c r="G296" s="261">
        <f t="shared" si="17"/>
        <v>0</v>
      </c>
      <c r="H296" s="261">
        <f t="shared" si="17"/>
        <v>0</v>
      </c>
      <c r="I296" s="261">
        <f t="shared" si="17"/>
        <v>0</v>
      </c>
      <c r="J296" s="261">
        <f t="shared" si="17"/>
        <v>0</v>
      </c>
      <c r="K296" s="263">
        <f>SUM(K275:K295)</f>
        <v>0</v>
      </c>
    </row>
    <row r="297" spans="1:13">
      <c r="D297" t="str">
        <f>_xlfn.IFNA(VLOOKUP(C297,[2]科目余额表!C:D,2,0),"")</f>
        <v/>
      </c>
    </row>
    <row r="298" spans="1:13">
      <c r="D298" t="str">
        <f>_xlfn.IFNA(VLOOKUP(C298,[2]科目余额表!C:D,2,0),"")</f>
        <v/>
      </c>
    </row>
    <row r="299" spans="1:13">
      <c r="A299" t="s">
        <v>4533</v>
      </c>
      <c r="B299" t="s">
        <v>4331</v>
      </c>
      <c r="D299" t="str">
        <f>_xlfn.IFNA(VLOOKUP(C299,[2]科目余额表!C:D,2,0),"")</f>
        <v/>
      </c>
      <c r="L299" s="261"/>
      <c r="M299" s="261"/>
    </row>
    <row r="300" spans="1:13">
      <c r="A300" t="s">
        <v>4534</v>
      </c>
      <c r="B300" t="s">
        <v>4331</v>
      </c>
      <c r="D300" t="str">
        <f>_xlfn.IFNA(VLOOKUP(C300,[2]科目余额表!C:D,2,0),"")</f>
        <v/>
      </c>
    </row>
    <row r="301" spans="1:13">
      <c r="A301" t="s">
        <v>4535</v>
      </c>
      <c r="B301" t="s">
        <v>4331</v>
      </c>
      <c r="C301" t="s">
        <v>3108</v>
      </c>
      <c r="D301" t="str">
        <f>_xlfn.IFNA(VLOOKUP(C301,[2]科目余额表!C:D,2,0),"")</f>
        <v/>
      </c>
    </row>
    <row r="302" spans="1:13">
      <c r="A302" t="s">
        <v>4536</v>
      </c>
      <c r="B302" t="s">
        <v>4331</v>
      </c>
      <c r="C302" t="s">
        <v>3109</v>
      </c>
      <c r="D302" t="str">
        <f>_xlfn.IFNA(VLOOKUP(C302,[2]科目余额表!C:D,2,0),"")</f>
        <v/>
      </c>
      <c r="K302" s="288">
        <f>SUM(长期股权投资明细表!H:H)</f>
        <v>0</v>
      </c>
    </row>
    <row r="303" spans="1:13">
      <c r="A303" t="s">
        <v>4536</v>
      </c>
      <c r="B303" t="s">
        <v>4331</v>
      </c>
      <c r="C303" t="s">
        <v>3110</v>
      </c>
      <c r="D303" t="str">
        <f>_xlfn.IFNA(VLOOKUP(C303,[2]科目余额表!C:D,2,0),"")</f>
        <v/>
      </c>
    </row>
    <row r="304" spans="1:13">
      <c r="A304" t="s">
        <v>4537</v>
      </c>
      <c r="B304" t="s">
        <v>4331</v>
      </c>
      <c r="C304" t="s">
        <v>3111</v>
      </c>
      <c r="D304" t="str">
        <f>_xlfn.IFNA(VLOOKUP(C304,[2]科目余额表!C:D,2,0),"")</f>
        <v/>
      </c>
    </row>
    <row r="305" spans="1:13">
      <c r="A305" t="s">
        <v>4538</v>
      </c>
      <c r="D305" t="str">
        <f>_xlfn.IFNA(VLOOKUP(C305,[2]科目余额表!C:D,2,0),"")</f>
        <v/>
      </c>
    </row>
    <row r="306" spans="1:13">
      <c r="A306" t="s">
        <v>4501</v>
      </c>
      <c r="D306" t="str">
        <f>_xlfn.IFNA(VLOOKUP(C306,[2]科目余额表!C:D,2,0),"")</f>
        <v/>
      </c>
    </row>
    <row r="307" spans="1:13">
      <c r="A307" t="s">
        <v>4502</v>
      </c>
      <c r="D307" t="str">
        <f>_xlfn.IFNA(VLOOKUP(C307,[2]科目余额表!C:D,2,0),"")</f>
        <v/>
      </c>
    </row>
    <row r="308" spans="1:13">
      <c r="A308" t="s">
        <v>4539</v>
      </c>
      <c r="D308" t="str">
        <f>_xlfn.IFNA(VLOOKUP(C308,[2]科目余额表!C:D,2,0),"")</f>
        <v/>
      </c>
    </row>
    <row r="309" spans="1:13">
      <c r="D309" t="str">
        <f>_xlfn.IFNA(VLOOKUP(C309,[2]科目余额表!C:D,2,0),"")</f>
        <v/>
      </c>
    </row>
    <row r="310" spans="1:13">
      <c r="D310" t="str">
        <f>_xlfn.IFNA(VLOOKUP(C310,[2]科目余额表!C:D,2,0),"")</f>
        <v/>
      </c>
    </row>
    <row r="311" spans="1:13">
      <c r="A311" s="261" t="s">
        <v>4540</v>
      </c>
      <c r="B311" s="261"/>
      <c r="C311" s="261"/>
      <c r="D311" s="261" t="str">
        <f>_xlfn.IFNA(VLOOKUP(C311,[2]科目余额表!C:D,2,0),"")</f>
        <v/>
      </c>
      <c r="E311" s="261">
        <f>SUM(E299:E310)</f>
        <v>0</v>
      </c>
      <c r="F311" s="261">
        <f t="shared" ref="F311:K311" si="18">SUM(F299:F310)</f>
        <v>0</v>
      </c>
      <c r="G311" s="261">
        <f t="shared" si="18"/>
        <v>0</v>
      </c>
      <c r="H311" s="261">
        <f t="shared" si="18"/>
        <v>0</v>
      </c>
      <c r="I311" s="261">
        <f t="shared" si="18"/>
        <v>0</v>
      </c>
      <c r="J311" s="261">
        <f t="shared" si="18"/>
        <v>0</v>
      </c>
      <c r="K311" s="263">
        <f t="shared" si="18"/>
        <v>0</v>
      </c>
    </row>
    <row r="312" spans="1:13">
      <c r="D312" t="str">
        <f>_xlfn.IFNA(VLOOKUP(C312,[2]科目余额表!C:D,2,0),"")</f>
        <v/>
      </c>
    </row>
    <row r="313" spans="1:13">
      <c r="D313" t="str">
        <f>_xlfn.IFNA(VLOOKUP(C313,[2]科目余额表!C:D,2,0),"")</f>
        <v/>
      </c>
    </row>
    <row r="314" spans="1:13">
      <c r="A314" t="s">
        <v>4541</v>
      </c>
      <c r="D314" t="str">
        <f>_xlfn.IFNA(VLOOKUP(C314,[2]科目余额表!C:D,2,0),"")</f>
        <v/>
      </c>
      <c r="K314" s="288">
        <f>SUM(长期股权投资明细表!G:G)</f>
        <v>0</v>
      </c>
      <c r="L314" s="261"/>
      <c r="M314" s="261"/>
    </row>
    <row r="315" spans="1:13">
      <c r="A315" t="s">
        <v>4506</v>
      </c>
      <c r="D315" t="str">
        <f>_xlfn.IFNA(VLOOKUP(C315,[2]科目余额表!C:D,2,0),"")</f>
        <v/>
      </c>
    </row>
    <row r="316" spans="1:13">
      <c r="D316" t="str">
        <f>_xlfn.IFNA(VLOOKUP(C316,[2]科目余额表!C:D,2,0),"")</f>
        <v/>
      </c>
    </row>
    <row r="317" spans="1:13">
      <c r="A317" s="261" t="s">
        <v>4542</v>
      </c>
      <c r="B317" s="261"/>
      <c r="C317" s="261"/>
      <c r="D317" s="261" t="str">
        <f>_xlfn.IFNA(VLOOKUP(C317,[2]科目余额表!C:D,2,0),"")</f>
        <v/>
      </c>
      <c r="E317" s="261">
        <f>SUM(E314:E316)</f>
        <v>0</v>
      </c>
      <c r="F317" s="261">
        <f t="shared" ref="F317:K317" si="19">SUM(F314:F316)</f>
        <v>0</v>
      </c>
      <c r="G317" s="261">
        <f t="shared" si="19"/>
        <v>0</v>
      </c>
      <c r="H317" s="261">
        <f t="shared" si="19"/>
        <v>0</v>
      </c>
      <c r="I317" s="261">
        <f t="shared" si="19"/>
        <v>0</v>
      </c>
      <c r="J317" s="261">
        <f t="shared" si="19"/>
        <v>0</v>
      </c>
      <c r="K317" s="263">
        <f t="shared" si="19"/>
        <v>0</v>
      </c>
    </row>
    <row r="318" spans="1:13">
      <c r="D318" t="str">
        <f>_xlfn.IFNA(VLOOKUP(C318,[2]科目余额表!C:D,2,0),"")</f>
        <v/>
      </c>
    </row>
    <row r="319" spans="1:13">
      <c r="D319" t="str">
        <f>_xlfn.IFNA(VLOOKUP(C319,[2]科目余额表!C:D,2,0),"")</f>
        <v/>
      </c>
    </row>
    <row r="320" spans="1:13">
      <c r="A320" t="s">
        <v>4543</v>
      </c>
      <c r="D320" t="str">
        <f>_xlfn.IFNA(VLOOKUP(C320,[2]科目余额表!C:D,2,0),"")</f>
        <v/>
      </c>
      <c r="L320" s="261"/>
      <c r="M320" s="261"/>
    </row>
    <row r="321" spans="1:13">
      <c r="A321" t="s">
        <v>4544</v>
      </c>
      <c r="D321" t="str">
        <f>_xlfn.IFNA(VLOOKUP(C321,[2]科目余额表!C:D,2,0),"")</f>
        <v/>
      </c>
    </row>
    <row r="322" spans="1:13">
      <c r="A322" t="s">
        <v>4545</v>
      </c>
      <c r="D322" t="str">
        <f>_xlfn.IFNA(VLOOKUP(C322,[2]科目余额表!C:D,2,0),"")</f>
        <v/>
      </c>
    </row>
    <row r="323" spans="1:13">
      <c r="D323" t="str">
        <f>_xlfn.IFNA(VLOOKUP(C323,[2]科目余额表!C:D,2,0),"")</f>
        <v/>
      </c>
    </row>
    <row r="324" spans="1:13">
      <c r="D324" t="str">
        <f>_xlfn.IFNA(VLOOKUP(C324,[2]科目余额表!C:D,2,0),"")</f>
        <v/>
      </c>
    </row>
    <row r="325" spans="1:13">
      <c r="A325" s="261" t="s">
        <v>4546</v>
      </c>
      <c r="B325" s="261"/>
      <c r="C325" s="261"/>
      <c r="D325" s="261" t="str">
        <f>_xlfn.IFNA(VLOOKUP(C325,[2]科目余额表!C:D,2,0),"")</f>
        <v/>
      </c>
      <c r="E325" s="261">
        <f>SUM(E320:E324)</f>
        <v>0</v>
      </c>
      <c r="F325" s="261">
        <f t="shared" ref="F325:K325" si="20">SUM(F320:F324)</f>
        <v>0</v>
      </c>
      <c r="G325" s="261">
        <f t="shared" si="20"/>
        <v>0</v>
      </c>
      <c r="H325" s="261">
        <f t="shared" si="20"/>
        <v>0</v>
      </c>
      <c r="I325" s="261">
        <f t="shared" si="20"/>
        <v>0</v>
      </c>
      <c r="J325" s="261">
        <f t="shared" si="20"/>
        <v>0</v>
      </c>
      <c r="K325" s="263">
        <f t="shared" si="20"/>
        <v>0</v>
      </c>
    </row>
    <row r="326" spans="1:13">
      <c r="D326" t="str">
        <f>_xlfn.IFNA(VLOOKUP(C326,[2]科目余额表!C:D,2,0),"")</f>
        <v/>
      </c>
    </row>
    <row r="327" spans="1:13">
      <c r="D327" t="str">
        <f>_xlfn.IFNA(VLOOKUP(C327,[2]科目余额表!C:D,2,0),"")</f>
        <v/>
      </c>
    </row>
    <row r="328" spans="1:13">
      <c r="A328" t="s">
        <v>758</v>
      </c>
      <c r="B328" t="s">
        <v>4307</v>
      </c>
      <c r="C328" t="s">
        <v>3116</v>
      </c>
      <c r="D328" t="str">
        <f>_xlfn.IFNA(VLOOKUP(C328,[2]科目余额表!C:D,2,0),"")</f>
        <v/>
      </c>
      <c r="K328" s="288">
        <f>VLOOKUP("合计",实收资本!A:G,4,0)</f>
        <v>0</v>
      </c>
      <c r="L328" s="261"/>
      <c r="M328" s="261"/>
    </row>
    <row r="329" spans="1:13">
      <c r="A329" t="s">
        <v>759</v>
      </c>
      <c r="B329" t="s">
        <v>4307</v>
      </c>
      <c r="D329" t="str">
        <f>_xlfn.IFNA(VLOOKUP(C329,[2]科目余额表!C:D,2,0),"")</f>
        <v/>
      </c>
    </row>
    <row r="331" spans="1:13">
      <c r="A331" t="s">
        <v>4547</v>
      </c>
      <c r="D331" t="str">
        <f>_xlfn.IFNA(VLOOKUP(C331,[2]科目余额表!C:D,2,0),"")</f>
        <v/>
      </c>
    </row>
    <row r="332" spans="1:13">
      <c r="A332" s="261" t="s">
        <v>4548</v>
      </c>
      <c r="B332" s="261"/>
      <c r="C332" s="261"/>
      <c r="D332" s="261" t="str">
        <f>_xlfn.IFNA(VLOOKUP(C332,[2]科目余额表!C:D,2,0),"")</f>
        <v/>
      </c>
      <c r="E332" s="261">
        <f t="shared" ref="E332:K332" si="21">SUM(E328:E331)</f>
        <v>0</v>
      </c>
      <c r="F332" s="261">
        <f t="shared" si="21"/>
        <v>0</v>
      </c>
      <c r="G332" s="261">
        <f t="shared" si="21"/>
        <v>0</v>
      </c>
      <c r="H332" s="261">
        <f t="shared" si="21"/>
        <v>0</v>
      </c>
      <c r="I332" s="261">
        <f t="shared" si="21"/>
        <v>0</v>
      </c>
      <c r="J332" s="261">
        <f t="shared" si="21"/>
        <v>0</v>
      </c>
      <c r="K332" s="620">
        <f t="shared" si="21"/>
        <v>0</v>
      </c>
    </row>
    <row r="333" spans="1:13">
      <c r="D333" t="str">
        <f>_xlfn.IFNA(VLOOKUP(C333,[2]科目余额表!C:D,2,0),"")</f>
        <v/>
      </c>
    </row>
    <row r="334" spans="1:13">
      <c r="A334" t="s">
        <v>4549</v>
      </c>
      <c r="B334" t="s">
        <v>4307</v>
      </c>
      <c r="C334" t="s">
        <v>4550</v>
      </c>
      <c r="D334" t="str">
        <f>_xlfn.IFNA(VLOOKUP(C334,[2]科目余额表!C:D,2,0),"")</f>
        <v/>
      </c>
      <c r="K334" s="288">
        <f>SUM(长期借款明细表!P:P)</f>
        <v>0</v>
      </c>
    </row>
    <row r="335" spans="1:13">
      <c r="A335" t="s">
        <v>4551</v>
      </c>
      <c r="B335" t="s">
        <v>4307</v>
      </c>
      <c r="C335" t="s">
        <v>4552</v>
      </c>
      <c r="D335" t="str">
        <f>_xlfn.IFNA(VLOOKUP(C335,[2]科目余额表!C:D,2,0),"")</f>
        <v/>
      </c>
      <c r="K335" s="288">
        <f>SUM(短期借款明细表!N:N)</f>
        <v>0</v>
      </c>
      <c r="L335" s="261"/>
      <c r="M335" s="261"/>
    </row>
    <row r="336" spans="1:13">
      <c r="A336" t="s">
        <v>756</v>
      </c>
      <c r="B336" t="s">
        <v>4307</v>
      </c>
      <c r="C336" t="s">
        <v>3115</v>
      </c>
      <c r="D336" t="str">
        <f>_xlfn.IFNA(VLOOKUP(C336,[2]科目余额表!C:D,2,0),"")</f>
        <v/>
      </c>
      <c r="K336" s="288">
        <f>SUM(应付债券明细表!P:P)-SUM(应付债券明细表!T:T)</f>
        <v>0</v>
      </c>
    </row>
    <row r="337" spans="1:13">
      <c r="A337" t="s">
        <v>94</v>
      </c>
      <c r="B337" t="s">
        <v>4307</v>
      </c>
      <c r="D337" t="str">
        <f>_xlfn.IFNA(VLOOKUP(C337,[2]科目余额表!C:D,2,0),"")</f>
        <v/>
      </c>
    </row>
    <row r="338" spans="1:13">
      <c r="D338" t="str">
        <f>_xlfn.IFNA(VLOOKUP(C338,[2]科目余额表!C:D,2,0),"")</f>
        <v/>
      </c>
    </row>
    <row r="339" spans="1:13">
      <c r="D339" t="str">
        <f>_xlfn.IFNA(VLOOKUP(C339,[2]科目余额表!C:D,2,0),"")</f>
        <v/>
      </c>
    </row>
    <row r="340" spans="1:13">
      <c r="A340" s="261" t="s">
        <v>4553</v>
      </c>
      <c r="B340" s="261"/>
      <c r="C340" s="261"/>
      <c r="D340" s="261" t="str">
        <f>_xlfn.IFNA(VLOOKUP(C340,[2]科目余额表!C:D,2,0),"")</f>
        <v/>
      </c>
      <c r="E340" s="261">
        <f>SUM(E334:E339)</f>
        <v>0</v>
      </c>
      <c r="F340" s="261">
        <f t="shared" ref="F340:K340" si="22">SUM(F334:F339)</f>
        <v>0</v>
      </c>
      <c r="G340" s="261">
        <f t="shared" si="22"/>
        <v>0</v>
      </c>
      <c r="H340" s="261">
        <f t="shared" si="22"/>
        <v>0</v>
      </c>
      <c r="I340" s="261">
        <f t="shared" si="22"/>
        <v>0</v>
      </c>
      <c r="J340" s="261">
        <f t="shared" si="22"/>
        <v>0</v>
      </c>
      <c r="K340" s="620">
        <f t="shared" si="22"/>
        <v>0</v>
      </c>
    </row>
    <row r="341" spans="1:13">
      <c r="D341" t="str">
        <f>_xlfn.IFNA(VLOOKUP(C341,[2]科目余额表!C:D,2,0),"")</f>
        <v/>
      </c>
    </row>
    <row r="342" spans="1:13">
      <c r="A342" t="s">
        <v>4554</v>
      </c>
      <c r="D342" t="str">
        <f>_xlfn.IFNA(VLOOKUP(C342,[2]科目余额表!C:D,2,0),"")</f>
        <v/>
      </c>
    </row>
    <row r="343" spans="1:13">
      <c r="A343" t="s">
        <v>4555</v>
      </c>
      <c r="D343" t="str">
        <f>_xlfn.IFNA(VLOOKUP(C343,[2]科目余额表!C:D,2,0),"")</f>
        <v/>
      </c>
      <c r="L343" s="261"/>
      <c r="M343" s="261"/>
    </row>
    <row r="344" spans="1:13">
      <c r="D344" t="str">
        <f>_xlfn.IFNA(VLOOKUP(C344,[2]科目余额表!C:D,2,0),"")</f>
        <v/>
      </c>
    </row>
    <row r="345" spans="1:13">
      <c r="D345" t="str">
        <f>_xlfn.IFNA(VLOOKUP(C345,[2]科目余额表!C:D,2,0),"")</f>
        <v/>
      </c>
    </row>
    <row r="346" spans="1:13">
      <c r="A346" s="261" t="s">
        <v>4556</v>
      </c>
      <c r="B346" s="261"/>
      <c r="C346" s="261"/>
      <c r="D346" s="261" t="str">
        <f>_xlfn.IFNA(VLOOKUP(C346,[2]科目余额表!C:D,2,0),"")</f>
        <v/>
      </c>
      <c r="E346" s="261">
        <f>SUM(E342:E345)</f>
        <v>0</v>
      </c>
      <c r="F346" s="261">
        <f t="shared" ref="F346:K346" si="23">SUM(F342:F345)</f>
        <v>0</v>
      </c>
      <c r="G346" s="261">
        <f t="shared" si="23"/>
        <v>0</v>
      </c>
      <c r="H346" s="261">
        <f t="shared" si="23"/>
        <v>0</v>
      </c>
      <c r="I346" s="261">
        <f t="shared" si="23"/>
        <v>0</v>
      </c>
      <c r="J346" s="261">
        <f t="shared" si="23"/>
        <v>0</v>
      </c>
      <c r="K346" s="263">
        <f t="shared" si="23"/>
        <v>0</v>
      </c>
    </row>
    <row r="347" spans="1:13">
      <c r="D347" t="str">
        <f>_xlfn.IFNA(VLOOKUP(C347,[2]科目余额表!C:D,2,0),"")</f>
        <v/>
      </c>
    </row>
    <row r="348" spans="1:13">
      <c r="A348" t="s">
        <v>4557</v>
      </c>
      <c r="B348" t="s">
        <v>4331</v>
      </c>
      <c r="C348" t="s">
        <v>4552</v>
      </c>
      <c r="D348" t="str">
        <f>_xlfn.IFNA(VLOOKUP(C348,[2]科目余额表!C:D,2,0),"")</f>
        <v/>
      </c>
      <c r="K348" s="288">
        <f>SUM(短期借款明细表!O:O)</f>
        <v>0</v>
      </c>
    </row>
    <row r="349" spans="1:13">
      <c r="A349" t="s">
        <v>4558</v>
      </c>
      <c r="B349" t="s">
        <v>4331</v>
      </c>
      <c r="C349" t="s">
        <v>4550</v>
      </c>
      <c r="D349" t="str">
        <f>_xlfn.IFNA(VLOOKUP(C349,[2]科目余额表!C:D,2,0),"")</f>
        <v/>
      </c>
      <c r="K349" s="288">
        <f>SUM(长期借款明细表!Q:Q)</f>
        <v>0</v>
      </c>
      <c r="L349" s="261"/>
      <c r="M349" s="261"/>
    </row>
    <row r="350" spans="1:13">
      <c r="A350" t="s">
        <v>4559</v>
      </c>
      <c r="B350" t="s">
        <v>4331</v>
      </c>
      <c r="C350" t="s">
        <v>3115</v>
      </c>
      <c r="D350" t="str">
        <f>_xlfn.IFNA(VLOOKUP(C350,[2]科目余额表!C:D,2,0),"")</f>
        <v/>
      </c>
      <c r="K350" s="288">
        <f>SUM(应付债券明细表!Q:Q)</f>
        <v>0</v>
      </c>
    </row>
    <row r="351" spans="1:13">
      <c r="A351" t="s">
        <v>4560</v>
      </c>
      <c r="B351" t="s">
        <v>4307</v>
      </c>
      <c r="D351" t="str">
        <f>_xlfn.IFNA(VLOOKUP(C351,[2]科目余额表!C:D,2,0),"")</f>
        <v/>
      </c>
    </row>
    <row r="352" spans="1:13">
      <c r="A352" t="s">
        <v>4561</v>
      </c>
      <c r="B352" t="s">
        <v>4307</v>
      </c>
      <c r="C352" t="s">
        <v>3114</v>
      </c>
      <c r="D352" t="str">
        <f>_xlfn.IFNA(VLOOKUP(C352,[2]科目余额表!C:D,2,0),"")</f>
        <v/>
      </c>
    </row>
    <row r="353" spans="1:13">
      <c r="A353" t="s">
        <v>4562</v>
      </c>
      <c r="B353" t="s">
        <v>4331</v>
      </c>
      <c r="D353" t="str">
        <f>_xlfn.IFNA(VLOOKUP(C353,[2]科目余额表!C:D,2,0),"")</f>
        <v/>
      </c>
    </row>
    <row r="354" spans="1:13">
      <c r="A354" t="s">
        <v>4563</v>
      </c>
      <c r="B354" t="s">
        <v>4331</v>
      </c>
      <c r="C354" t="s">
        <v>3114</v>
      </c>
      <c r="D354" t="str">
        <f>_xlfn.IFNA(VLOOKUP(C354,[2]科目余额表!C:D,2,0),"")</f>
        <v/>
      </c>
    </row>
    <row r="355" spans="1:13">
      <c r="D355" t="str">
        <f>_xlfn.IFNA(VLOOKUP(C355,[2]科目余额表!C:D,2,0),"")</f>
        <v/>
      </c>
    </row>
    <row r="356" spans="1:13">
      <c r="D356" t="str">
        <f>_xlfn.IFNA(VLOOKUP(C356,[2]科目余额表!C:D,2,0),"")</f>
        <v/>
      </c>
    </row>
    <row r="357" spans="1:13">
      <c r="A357" s="261" t="s">
        <v>4564</v>
      </c>
      <c r="B357" s="261"/>
      <c r="C357" s="261"/>
      <c r="D357" s="261" t="str">
        <f>_xlfn.IFNA(VLOOKUP(C357,[2]科目余额表!C:D,2,0),"")</f>
        <v/>
      </c>
      <c r="E357" s="261">
        <f>SUM(E348:E356)</f>
        <v>0</v>
      </c>
      <c r="F357" s="261">
        <f t="shared" ref="F357:K357" si="24">SUM(F348:F356)</f>
        <v>0</v>
      </c>
      <c r="G357" s="261">
        <f t="shared" si="24"/>
        <v>0</v>
      </c>
      <c r="H357" s="261">
        <f t="shared" si="24"/>
        <v>0</v>
      </c>
      <c r="I357" s="261">
        <f t="shared" si="24"/>
        <v>0</v>
      </c>
      <c r="J357" s="261">
        <f t="shared" si="24"/>
        <v>0</v>
      </c>
      <c r="K357" s="263">
        <f t="shared" si="24"/>
        <v>0</v>
      </c>
    </row>
    <row r="358" spans="1:13">
      <c r="D358" t="str">
        <f>_xlfn.IFNA(VLOOKUP(C358,[2]科目余额表!C:D,2,0),"")</f>
        <v/>
      </c>
    </row>
    <row r="359" spans="1:13">
      <c r="A359" t="s">
        <v>4784</v>
      </c>
      <c r="B359" t="s">
        <v>4331</v>
      </c>
      <c r="C359" t="s">
        <v>4565</v>
      </c>
      <c r="D359" t="str">
        <f>_xlfn.IFNA(VLOOKUP(C359,[2]科目余额表!C:D,2,0),"")</f>
        <v/>
      </c>
      <c r="K359" s="288">
        <f>上期TB!H127-本期TB!H127</f>
        <v>0</v>
      </c>
    </row>
    <row r="360" spans="1:13">
      <c r="A360" t="s">
        <v>4785</v>
      </c>
      <c r="B360" t="s">
        <v>4331</v>
      </c>
      <c r="C360" t="s">
        <v>4786</v>
      </c>
      <c r="D360" t="str">
        <f>_xlfn.IFNA(VLOOKUP(C360,[2]科目余额表!C:D,2,0),"")</f>
        <v/>
      </c>
      <c r="K360" s="288">
        <f>上期TB!H126-本期TB!H126</f>
        <v>0</v>
      </c>
      <c r="L360" s="261"/>
      <c r="M360" s="261"/>
    </row>
    <row r="361" spans="1:13">
      <c r="A361" t="s">
        <v>1918</v>
      </c>
      <c r="B361" t="s">
        <v>4331</v>
      </c>
      <c r="C361" t="s">
        <v>4566</v>
      </c>
      <c r="D361" t="str">
        <f>_xlfn.IFNA(VLOOKUP(C361,[2]科目余额表!C:D,2,0),"")</f>
        <v/>
      </c>
      <c r="K361" s="288">
        <f>财务费用分类表!B10</f>
        <v>0</v>
      </c>
    </row>
    <row r="362" spans="1:13">
      <c r="A362" t="s">
        <v>4787</v>
      </c>
      <c r="B362" t="s">
        <v>4331</v>
      </c>
      <c r="D362" t="str">
        <f>_xlfn.IFNA(VLOOKUP(C362,[2]科目余额表!C:D,2,0),"")</f>
        <v/>
      </c>
      <c r="K362" s="288">
        <f>本期TB!H253</f>
        <v>0</v>
      </c>
    </row>
    <row r="363" spans="1:13">
      <c r="A363" t="s">
        <v>4567</v>
      </c>
      <c r="D363" t="str">
        <f>_xlfn.IFNA(VLOOKUP(C363,[2]科目余额表!C:D,2,0),"")</f>
        <v/>
      </c>
    </row>
    <row r="364" spans="1:13">
      <c r="D364" t="str">
        <f>_xlfn.IFNA(VLOOKUP(C364,[2]科目余额表!C:D,2,0),"")</f>
        <v/>
      </c>
    </row>
    <row r="365" spans="1:13">
      <c r="A365" s="261" t="s">
        <v>4568</v>
      </c>
      <c r="B365" s="261"/>
      <c r="C365" s="261"/>
      <c r="D365" s="261" t="str">
        <f>_xlfn.IFNA(VLOOKUP(C365,[2]科目余额表!C:D,2,0),"")</f>
        <v/>
      </c>
      <c r="E365" s="261">
        <f>SUM(E359:E364)</f>
        <v>0</v>
      </c>
      <c r="F365" s="261">
        <f t="shared" ref="F365:K365" si="25">SUM(F359:F364)</f>
        <v>0</v>
      </c>
      <c r="G365" s="261">
        <f t="shared" si="25"/>
        <v>0</v>
      </c>
      <c r="H365" s="261">
        <f t="shared" si="25"/>
        <v>0</v>
      </c>
      <c r="I365" s="261">
        <f t="shared" si="25"/>
        <v>0</v>
      </c>
      <c r="J365" s="261">
        <f t="shared" si="25"/>
        <v>0</v>
      </c>
      <c r="K365" s="263">
        <f t="shared" si="25"/>
        <v>0</v>
      </c>
    </row>
    <row r="366" spans="1:13">
      <c r="D366" t="str">
        <f>_xlfn.IFNA(VLOOKUP(C366,[2]科目余额表!C:D,2,0),"")</f>
        <v/>
      </c>
    </row>
    <row r="367" spans="1:13">
      <c r="D367" t="str">
        <f>_xlfn.IFNA(VLOOKUP(C367,[2]科目余额表!C:D,2,0),"")</f>
        <v/>
      </c>
    </row>
    <row r="368" spans="1:13">
      <c r="A368" t="s">
        <v>4569</v>
      </c>
      <c r="D368" t="str">
        <f>_xlfn.IFNA(VLOOKUP(C368,[2]科目余额表!C:D,2,0),"")</f>
        <v/>
      </c>
      <c r="L368" s="261"/>
      <c r="M368" s="261"/>
    </row>
    <row r="369" spans="1:13">
      <c r="A369" t="s">
        <v>4570</v>
      </c>
      <c r="D369" t="str">
        <f>_xlfn.IFNA(VLOOKUP(C369,[2]科目余额表!C:D,2,0),"")</f>
        <v/>
      </c>
    </row>
    <row r="370" spans="1:13">
      <c r="A370" t="s">
        <v>4793</v>
      </c>
      <c r="D370" t="str">
        <f>_xlfn.IFNA(VLOOKUP(C370,[2]科目余额表!C:D,2,0),"")</f>
        <v/>
      </c>
      <c r="K370" s="229">
        <f>财务费用分类表!B7</f>
        <v>0</v>
      </c>
    </row>
    <row r="371" spans="1:13">
      <c r="A371" t="s">
        <v>4571</v>
      </c>
      <c r="D371" t="str">
        <f>_xlfn.IFNA(VLOOKUP(C371,[2]科目余额表!C:D,2,0),"")</f>
        <v/>
      </c>
    </row>
    <row r="372" spans="1:13">
      <c r="A372" t="s">
        <v>4792</v>
      </c>
      <c r="D372" t="str">
        <f>_xlfn.IFNA(VLOOKUP(C372,[2]科目余额表!C:D,2,0),"")</f>
        <v/>
      </c>
    </row>
    <row r="373" spans="1:13">
      <c r="A373" s="261" t="s">
        <v>4572</v>
      </c>
      <c r="B373" s="261"/>
      <c r="C373" s="261"/>
      <c r="D373" s="261" t="str">
        <f>_xlfn.IFNA(VLOOKUP(C373,[2]科目余额表!C:D,2,0),"")</f>
        <v/>
      </c>
      <c r="E373" s="261">
        <f>SUM(E368:E372)</f>
        <v>0</v>
      </c>
      <c r="F373" s="261">
        <f t="shared" ref="F373:K373" si="26">SUM(F368:F372)</f>
        <v>0</v>
      </c>
      <c r="G373" s="261">
        <f t="shared" si="26"/>
        <v>0</v>
      </c>
      <c r="H373" s="261">
        <f t="shared" si="26"/>
        <v>0</v>
      </c>
      <c r="I373" s="261">
        <f t="shared" si="26"/>
        <v>0</v>
      </c>
      <c r="J373" s="261">
        <f t="shared" si="26"/>
        <v>0</v>
      </c>
      <c r="K373" s="263">
        <f t="shared" si="26"/>
        <v>0</v>
      </c>
    </row>
    <row r="374" spans="1:13">
      <c r="D374" t="str">
        <f>_xlfn.IFNA(VLOOKUP(C374,[2]科目余额表!C:D,2,0),"")</f>
        <v/>
      </c>
    </row>
    <row r="375" spans="1:13">
      <c r="D375" t="str">
        <f>_xlfn.IFNA(VLOOKUP(C375,[2]科目余额表!C:D,2,0),"")</f>
        <v/>
      </c>
    </row>
    <row r="376" spans="1:13">
      <c r="A376" t="s">
        <v>191</v>
      </c>
      <c r="B376" t="s">
        <v>4316</v>
      </c>
      <c r="C376" t="s">
        <v>4573</v>
      </c>
      <c r="D376" t="str">
        <f>_xlfn.IFNA(VLOOKUP(C376,[2]科目余额表!C:D,2,0),"")</f>
        <v/>
      </c>
      <c r="K376" s="288">
        <f>货币资金!C2-受限货币资金情况!C2</f>
        <v>0</v>
      </c>
      <c r="L376" s="261"/>
      <c r="M376" s="261"/>
    </row>
    <row r="377" spans="1:13">
      <c r="A377" t="s">
        <v>192</v>
      </c>
      <c r="B377" t="s">
        <v>4316</v>
      </c>
      <c r="C377" t="s">
        <v>4574</v>
      </c>
      <c r="D377" t="str">
        <f>_xlfn.IFNA(VLOOKUP(C377,[2]科目余额表!C:D,2,0),"")</f>
        <v/>
      </c>
      <c r="K377" s="288">
        <f>货币资金!C3-受限货币资金情况!C3</f>
        <v>0</v>
      </c>
    </row>
    <row r="378" spans="1:13">
      <c r="A378" t="s">
        <v>193</v>
      </c>
      <c r="B378" t="s">
        <v>4316</v>
      </c>
      <c r="D378" t="str">
        <f>_xlfn.IFNA(VLOOKUP(C378,[2]科目余额表!C:D,2,0),"")</f>
        <v/>
      </c>
      <c r="K378" s="288">
        <f>货币资金!C4-受限货币资金情况!C4</f>
        <v>0</v>
      </c>
    </row>
    <row r="379" spans="1:13">
      <c r="D379" t="str">
        <f>_xlfn.IFNA(VLOOKUP(C379,[2]科目余额表!C:D,2,0),"")</f>
        <v/>
      </c>
    </row>
    <row r="380" spans="1:13">
      <c r="A380" s="261" t="s">
        <v>4575</v>
      </c>
      <c r="B380" s="261"/>
      <c r="C380" s="261"/>
      <c r="D380" s="261" t="str">
        <f>_xlfn.IFNA(VLOOKUP(C380,[2]科目余额表!C:D,2,0),"")</f>
        <v/>
      </c>
      <c r="E380" s="261">
        <f>SUM(E376:E379)</f>
        <v>0</v>
      </c>
      <c r="F380" s="261">
        <f t="shared" ref="F380:J380" si="27">SUM(F376:F379)</f>
        <v>0</v>
      </c>
      <c r="G380" s="261">
        <f t="shared" si="27"/>
        <v>0</v>
      </c>
      <c r="H380" s="261">
        <f t="shared" si="27"/>
        <v>0</v>
      </c>
      <c r="I380" s="261">
        <f t="shared" si="27"/>
        <v>0</v>
      </c>
      <c r="J380" s="261">
        <f t="shared" si="27"/>
        <v>0</v>
      </c>
      <c r="K380" s="263">
        <f>SUM(K376:K379)</f>
        <v>0</v>
      </c>
    </row>
    <row r="381" spans="1:13">
      <c r="D381" t="str">
        <f>_xlfn.IFNA(VLOOKUP(C381,[2]科目余额表!C:D,2,0),"")</f>
        <v/>
      </c>
    </row>
    <row r="382" spans="1:13">
      <c r="A382" t="s">
        <v>191</v>
      </c>
      <c r="B382" t="s">
        <v>4314</v>
      </c>
      <c r="C382" t="s">
        <v>4573</v>
      </c>
      <c r="D382" t="str">
        <f>_xlfn.IFNA(VLOOKUP(C382,[2]科目余额表!C:D,2,0),"")</f>
        <v/>
      </c>
      <c r="K382" s="288">
        <f>货币资金!B2-受限货币资金情况!B2</f>
        <v>0</v>
      </c>
    </row>
    <row r="383" spans="1:13">
      <c r="A383" t="s">
        <v>192</v>
      </c>
      <c r="B383" t="s">
        <v>4314</v>
      </c>
      <c r="C383" t="s">
        <v>4574</v>
      </c>
      <c r="D383" t="str">
        <f>_xlfn.IFNA(VLOOKUP(C383,[2]科目余额表!C:D,2,0),"")</f>
        <v/>
      </c>
      <c r="K383" s="288">
        <f>货币资金!B3-受限货币资金情况!B3</f>
        <v>0</v>
      </c>
      <c r="L383" s="261"/>
      <c r="M383" s="261"/>
    </row>
    <row r="384" spans="1:13">
      <c r="A384" t="s">
        <v>193</v>
      </c>
      <c r="B384" t="s">
        <v>4314</v>
      </c>
      <c r="D384" t="str">
        <f>_xlfn.IFNA(VLOOKUP(C384,[2]科目余额表!C:D,2,0),"")</f>
        <v/>
      </c>
      <c r="K384" s="288">
        <f>货币资金!B4-受限货币资金情况!B4</f>
        <v>0</v>
      </c>
    </row>
    <row r="385" spans="1:13">
      <c r="D385" t="str">
        <f>_xlfn.IFNA(VLOOKUP(C385,[2]科目余额表!C:D,2,0),"")</f>
        <v/>
      </c>
    </row>
    <row r="386" spans="1:13">
      <c r="A386" s="261" t="s">
        <v>4788</v>
      </c>
      <c r="B386" s="261"/>
      <c r="C386" s="261"/>
      <c r="D386" s="261" t="str">
        <f>_xlfn.IFNA(VLOOKUP(C386,[2]科目余额表!C:D,2,0),"")</f>
        <v/>
      </c>
      <c r="E386" s="261">
        <f>SUM(E382:E385)</f>
        <v>0</v>
      </c>
      <c r="F386" s="261">
        <f t="shared" ref="F386:J386" si="28">SUM(F382:F385)</f>
        <v>0</v>
      </c>
      <c r="G386" s="261">
        <f t="shared" si="28"/>
        <v>0</v>
      </c>
      <c r="H386" s="261">
        <f t="shared" si="28"/>
        <v>0</v>
      </c>
      <c r="I386" s="261">
        <f t="shared" si="28"/>
        <v>0</v>
      </c>
      <c r="J386" s="261">
        <f t="shared" si="28"/>
        <v>0</v>
      </c>
      <c r="K386" s="263">
        <f>SUM(K382:K385)</f>
        <v>0</v>
      </c>
    </row>
    <row r="387" spans="1:13">
      <c r="A387" t="s">
        <v>4789</v>
      </c>
      <c r="K387" s="230">
        <f>K386-现金流量表!B60</f>
        <v>0</v>
      </c>
    </row>
    <row r="388" spans="1:13">
      <c r="A388" t="s">
        <v>4790</v>
      </c>
      <c r="K388" s="230">
        <f>K386-资产表!B3</f>
        <v>0</v>
      </c>
    </row>
    <row r="389" spans="1:13">
      <c r="A389" s="261"/>
      <c r="B389" s="261"/>
      <c r="C389" s="261"/>
      <c r="D389" s="261"/>
      <c r="E389" s="261"/>
      <c r="F389" s="261"/>
      <c r="G389" s="261"/>
      <c r="H389" s="261"/>
      <c r="I389" s="261"/>
      <c r="J389" s="261"/>
      <c r="K389" s="263"/>
      <c r="L389" s="261"/>
      <c r="M389" s="261"/>
    </row>
    <row r="390" spans="1:13">
      <c r="A390" s="229"/>
      <c r="B390" s="229"/>
      <c r="C390" s="229"/>
      <c r="D390" s="229"/>
      <c r="E390" s="229"/>
      <c r="F390" s="229"/>
      <c r="G390" s="229"/>
      <c r="H390" s="229"/>
      <c r="I390" s="229"/>
      <c r="J390" s="229"/>
    </row>
  </sheetData>
  <autoFilter ref="A1:K390" xr:uid="{AD7C5746-8BD9-4791-BFD1-EDB1A1F33E9B}"/>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codeName="Sheet204">
    <tabColor rgb="FFFFC000"/>
  </sheetPr>
  <dimension ref="A1:F6"/>
  <sheetViews>
    <sheetView workbookViewId="0">
      <selection activeCell="H14" sqref="H14"/>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28</v>
      </c>
      <c r="B1" s="20" t="s">
        <v>3362</v>
      </c>
      <c r="C1" s="20" t="s">
        <v>437</v>
      </c>
      <c r="D1" s="20" t="s">
        <v>346</v>
      </c>
      <c r="E1" s="20" t="s">
        <v>347</v>
      </c>
      <c r="F1" s="20" t="s">
        <v>438</v>
      </c>
    </row>
    <row r="2" spans="1:6" ht="14.4">
      <c r="A2" s="38" t="s">
        <v>2479</v>
      </c>
      <c r="B2" s="296">
        <f>ROUND(SUMIF(暂时闲置的固定资产明细表!C:C,暂时闲置的固定资产情况!A2,暂时闲置的固定资产明细表!D:D),2)</f>
        <v>0</v>
      </c>
      <c r="C2" s="296">
        <f>ROUND(SUMIF(暂时闲置的固定资产明细表!C:C,暂时闲置的固定资产情况!A2,暂时闲置的固定资产明细表!E:E),2)</f>
        <v>0</v>
      </c>
      <c r="D2" s="296">
        <f>ROUND(SUMIF(暂时闲置的固定资产明细表!C:C,暂时闲置的固定资产情况!A2,暂时闲置的固定资产明细表!F:F),2)</f>
        <v>0</v>
      </c>
      <c r="E2" s="151">
        <f>ROUND(B2-C2-D2,2)</f>
        <v>0</v>
      </c>
      <c r="F2" s="41"/>
    </row>
    <row r="3" spans="1:6" ht="14.4">
      <c r="A3" s="38" t="s">
        <v>3083</v>
      </c>
      <c r="B3" s="296">
        <f>ROUND(SUMIF(暂时闲置的固定资产明细表!C:C,暂时闲置的固定资产情况!A3,暂时闲置的固定资产明细表!D:D),2)</f>
        <v>0</v>
      </c>
      <c r="C3" s="296">
        <f>ROUND(SUMIF(暂时闲置的固定资产明细表!C:C,暂时闲置的固定资产情况!A3,暂时闲置的固定资产明细表!E:E),2)</f>
        <v>0</v>
      </c>
      <c r="D3" s="296">
        <f>ROUND(SUMIF(暂时闲置的固定资产明细表!C:C,暂时闲置的固定资产情况!A3,暂时闲置的固定资产明细表!F:F),2)</f>
        <v>0</v>
      </c>
      <c r="E3" s="151">
        <f>ROUND(B3-C3-D3,2)</f>
        <v>0</v>
      </c>
      <c r="F3" s="41"/>
    </row>
    <row r="4" spans="1:6" ht="14.4">
      <c r="A4" s="38" t="s">
        <v>434</v>
      </c>
      <c r="B4" s="296">
        <f>ROUND(SUMIF(暂时闲置的固定资产明细表!C:C,暂时闲置的固定资产情况!A4,暂时闲置的固定资产明细表!D:D),2)</f>
        <v>0</v>
      </c>
      <c r="C4" s="296">
        <f>ROUND(SUMIF(暂时闲置的固定资产明细表!C:C,暂时闲置的固定资产情况!A4,暂时闲置的固定资产明细表!E:E),2)</f>
        <v>0</v>
      </c>
      <c r="D4" s="296">
        <f>ROUND(SUMIF(暂时闲置的固定资产明细表!C:C,暂时闲置的固定资产情况!A4,暂时闲置的固定资产明细表!F:F),2)</f>
        <v>0</v>
      </c>
      <c r="E4" s="151">
        <f>ROUND(B4-C4-D4,2)</f>
        <v>0</v>
      </c>
      <c r="F4" s="41"/>
    </row>
    <row r="5" spans="1:6" ht="14.4">
      <c r="A5" s="38"/>
      <c r="B5" s="296">
        <f>ROUND(SUMIF(暂时闲置的固定资产明细表!C:C,暂时闲置的固定资产情况!A5,暂时闲置的固定资产明细表!D:D),2)</f>
        <v>0</v>
      </c>
      <c r="C5" s="296">
        <f>ROUND(SUMIF(暂时闲置的固定资产明细表!C:C,暂时闲置的固定资产情况!A5,暂时闲置的固定资产明细表!E:E),2)</f>
        <v>0</v>
      </c>
      <c r="D5" s="296">
        <f>ROUND(SUMIF(暂时闲置的固定资产明细表!C:C,暂时闲置的固定资产情况!A5,暂时闲置的固定资产明细表!F:F),2)</f>
        <v>0</v>
      </c>
      <c r="E5" s="151">
        <f>ROUND(B5-C5-D5,2)</f>
        <v>0</v>
      </c>
      <c r="F5" s="41"/>
    </row>
    <row r="6" spans="1:6" ht="14.4">
      <c r="A6" s="20" t="s">
        <v>204</v>
      </c>
      <c r="B6" s="151">
        <f>ROUND(SUM(B2:B5),2)</f>
        <v>0</v>
      </c>
      <c r="C6" s="151">
        <f>ROUND(SUM(C2:C5),2)</f>
        <v>0</v>
      </c>
      <c r="D6" s="151">
        <f>ROUND(SUM(D2:D5),2)</f>
        <v>0</v>
      </c>
      <c r="E6" s="151">
        <f>ROUND(SUM(E2:E5),2)</f>
        <v>0</v>
      </c>
      <c r="F6" s="4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653C20-67DF-43FD-BD1A-10466F202E9E}">
          <x14:formula1>
            <xm:f>分类表!$25:$25</xm:f>
          </x14:formula1>
          <xm:sqref>A2:A5</xm:sqref>
        </x14:dataValidation>
      </x14:dataValidations>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BE41-D6B7-4654-806E-D49B14AF35CF}">
  <sheetPr codeName="Sheet205"/>
  <dimension ref="A1:J21"/>
  <sheetViews>
    <sheetView workbookViewId="0">
      <selection activeCell="J4" sqref="J4"/>
    </sheetView>
  </sheetViews>
  <sheetFormatPr defaultRowHeight="13.8"/>
  <cols>
    <col min="2" max="2" width="9.5546875" bestFit="1" customWidth="1"/>
    <col min="4" max="4" width="9.5546875" bestFit="1" customWidth="1"/>
    <col min="5" max="5" width="13.88671875" bestFit="1" customWidth="1"/>
    <col min="6" max="8" width="9.5546875" bestFit="1" customWidth="1"/>
    <col min="9" max="9" width="18.33203125" bestFit="1" customWidth="1"/>
    <col min="10" max="10" width="5.5546875" bestFit="1" customWidth="1"/>
  </cols>
  <sheetData>
    <row r="1" spans="1:10">
      <c r="A1" t="s">
        <v>2383</v>
      </c>
      <c r="B1" t="s">
        <v>3546</v>
      </c>
      <c r="C1" t="s">
        <v>3537</v>
      </c>
      <c r="D1" t="s">
        <v>3392</v>
      </c>
      <c r="E1" t="s">
        <v>3541</v>
      </c>
      <c r="F1" t="s">
        <v>3542</v>
      </c>
      <c r="G1" t="s">
        <v>3543</v>
      </c>
      <c r="H1" t="s">
        <v>3544</v>
      </c>
      <c r="I1" t="s">
        <v>3545</v>
      </c>
      <c r="J1" t="s">
        <v>438</v>
      </c>
    </row>
    <row r="2" spans="1:10">
      <c r="A2" t="str">
        <f>IF(D2&gt;0,基础信息!$B$1,"")</f>
        <v/>
      </c>
      <c r="B2" s="255"/>
      <c r="C2" s="276"/>
      <c r="D2" s="255"/>
      <c r="E2" s="255"/>
      <c r="F2" s="255"/>
      <c r="G2">
        <f>D2-E2-F2</f>
        <v>0</v>
      </c>
      <c r="H2" s="255"/>
      <c r="I2" s="255"/>
      <c r="J2" s="255"/>
    </row>
    <row r="3" spans="1:10">
      <c r="A3" t="str">
        <f>IF(D3&gt;0,基础信息!$B$1,"")</f>
        <v/>
      </c>
      <c r="B3" s="255"/>
      <c r="C3" s="276"/>
      <c r="D3" s="255"/>
      <c r="E3" s="255"/>
      <c r="F3" s="255"/>
      <c r="G3">
        <f>D3-E3-F3</f>
        <v>0</v>
      </c>
      <c r="H3" s="255"/>
      <c r="I3" s="255"/>
      <c r="J3" s="255"/>
    </row>
    <row r="4" spans="1:10">
      <c r="A4" t="str">
        <f>IF(D4&gt;0,基础信息!$B$1,"")</f>
        <v/>
      </c>
      <c r="B4" s="255"/>
      <c r="C4" s="276"/>
      <c r="D4" s="255"/>
      <c r="E4" s="255"/>
      <c r="F4" s="255"/>
      <c r="G4">
        <f>D4-E4-F4</f>
        <v>0</v>
      </c>
      <c r="H4" s="255"/>
      <c r="I4" s="255"/>
      <c r="J4" s="255"/>
    </row>
    <row r="5" spans="1:10">
      <c r="A5" t="str">
        <f>IF(D5&gt;0,基础信息!$B$1,"")</f>
        <v/>
      </c>
      <c r="B5" s="255"/>
      <c r="C5" s="276"/>
      <c r="D5" s="255"/>
      <c r="E5" s="255"/>
      <c r="F5" s="255"/>
      <c r="G5">
        <f t="shared" ref="G5:G21" si="0">D5-E5-F5</f>
        <v>0</v>
      </c>
      <c r="H5" s="255"/>
      <c r="I5" s="255"/>
      <c r="J5" s="255"/>
    </row>
    <row r="6" spans="1:10">
      <c r="A6" t="str">
        <f>IF(D6&gt;0,基础信息!$B$1,"")</f>
        <v/>
      </c>
      <c r="B6" s="255"/>
      <c r="C6" s="276"/>
      <c r="D6" s="255"/>
      <c r="E6" s="255"/>
      <c r="F6" s="255"/>
      <c r="G6">
        <f t="shared" si="0"/>
        <v>0</v>
      </c>
      <c r="H6" s="255"/>
      <c r="I6" s="255"/>
      <c r="J6" s="255"/>
    </row>
    <row r="7" spans="1:10">
      <c r="A7" t="str">
        <f>IF(D7&gt;0,基础信息!$B$1,"")</f>
        <v/>
      </c>
      <c r="B7" s="255"/>
      <c r="C7" s="276"/>
      <c r="D7" s="255"/>
      <c r="E7" s="255"/>
      <c r="F7" s="255"/>
      <c r="G7">
        <f t="shared" si="0"/>
        <v>0</v>
      </c>
      <c r="H7" s="255"/>
      <c r="I7" s="255"/>
      <c r="J7" s="255"/>
    </row>
    <row r="8" spans="1:10">
      <c r="A8" t="str">
        <f>IF(D8&gt;0,基础信息!$B$1,"")</f>
        <v/>
      </c>
      <c r="B8" s="255"/>
      <c r="C8" s="276"/>
      <c r="D8" s="255"/>
      <c r="E8" s="255"/>
      <c r="F8" s="255"/>
      <c r="G8">
        <f t="shared" si="0"/>
        <v>0</v>
      </c>
      <c r="H8" s="255"/>
      <c r="I8" s="255"/>
      <c r="J8" s="255"/>
    </row>
    <row r="9" spans="1:10">
      <c r="A9" t="str">
        <f>IF(D9&gt;0,基础信息!$B$1,"")</f>
        <v/>
      </c>
      <c r="B9" s="255"/>
      <c r="C9" s="276"/>
      <c r="D9" s="255"/>
      <c r="E9" s="255"/>
      <c r="F9" s="255"/>
      <c r="G9">
        <f t="shared" si="0"/>
        <v>0</v>
      </c>
      <c r="H9" s="255"/>
      <c r="I9" s="255"/>
      <c r="J9" s="255"/>
    </row>
    <row r="10" spans="1:10">
      <c r="A10" t="str">
        <f>IF(D10&gt;0,基础信息!$B$1,"")</f>
        <v/>
      </c>
      <c r="B10" s="255"/>
      <c r="C10" s="276"/>
      <c r="D10" s="255"/>
      <c r="E10" s="255"/>
      <c r="F10" s="255"/>
      <c r="G10">
        <f t="shared" si="0"/>
        <v>0</v>
      </c>
      <c r="H10" s="255"/>
      <c r="I10" s="255"/>
      <c r="J10" s="255"/>
    </row>
    <row r="11" spans="1:10">
      <c r="A11" t="str">
        <f>IF(D11&gt;0,基础信息!$B$1,"")</f>
        <v/>
      </c>
      <c r="B11" s="255"/>
      <c r="C11" s="276"/>
      <c r="D11" s="255"/>
      <c r="E11" s="255"/>
      <c r="F11" s="255"/>
      <c r="G11">
        <f t="shared" si="0"/>
        <v>0</v>
      </c>
      <c r="H11" s="255"/>
      <c r="I11" s="255"/>
      <c r="J11" s="255"/>
    </row>
    <row r="12" spans="1:10">
      <c r="A12" t="str">
        <f>IF(D12&gt;0,基础信息!$B$1,"")</f>
        <v/>
      </c>
      <c r="B12" s="255"/>
      <c r="C12" s="276"/>
      <c r="D12" s="255"/>
      <c r="E12" s="255"/>
      <c r="F12" s="255"/>
      <c r="G12">
        <f t="shared" si="0"/>
        <v>0</v>
      </c>
      <c r="H12" s="255"/>
      <c r="I12" s="255"/>
      <c r="J12" s="255"/>
    </row>
    <row r="13" spans="1:10">
      <c r="A13" t="str">
        <f>IF(D13&gt;0,基础信息!$B$1,"")</f>
        <v/>
      </c>
      <c r="B13" s="255"/>
      <c r="C13" s="276"/>
      <c r="D13" s="255"/>
      <c r="E13" s="255"/>
      <c r="F13" s="255"/>
      <c r="G13">
        <f t="shared" si="0"/>
        <v>0</v>
      </c>
      <c r="H13" s="255"/>
      <c r="I13" s="255"/>
      <c r="J13" s="255"/>
    </row>
    <row r="14" spans="1:10">
      <c r="A14" t="str">
        <f>IF(D14&gt;0,基础信息!$B$1,"")</f>
        <v/>
      </c>
      <c r="B14" s="255"/>
      <c r="C14" s="276"/>
      <c r="D14" s="255"/>
      <c r="E14" s="255"/>
      <c r="F14" s="255"/>
      <c r="G14">
        <f t="shared" si="0"/>
        <v>0</v>
      </c>
      <c r="H14" s="255"/>
      <c r="I14" s="255"/>
      <c r="J14" s="255"/>
    </row>
    <row r="15" spans="1:10">
      <c r="A15" t="str">
        <f>IF(D15&gt;0,基础信息!$B$1,"")</f>
        <v/>
      </c>
      <c r="B15" s="255"/>
      <c r="C15" s="276"/>
      <c r="D15" s="255"/>
      <c r="E15" s="255"/>
      <c r="F15" s="255"/>
      <c r="G15">
        <f t="shared" si="0"/>
        <v>0</v>
      </c>
      <c r="H15" s="255"/>
      <c r="I15" s="255"/>
      <c r="J15" s="255"/>
    </row>
    <row r="16" spans="1:10">
      <c r="A16" t="str">
        <f>IF(D16&gt;0,基础信息!$B$1,"")</f>
        <v/>
      </c>
      <c r="B16" s="255"/>
      <c r="C16" s="276"/>
      <c r="D16" s="255"/>
      <c r="E16" s="255"/>
      <c r="F16" s="255"/>
      <c r="G16">
        <f t="shared" si="0"/>
        <v>0</v>
      </c>
      <c r="H16" s="255"/>
      <c r="I16" s="255"/>
      <c r="J16" s="255"/>
    </row>
    <row r="17" spans="1:10">
      <c r="A17" t="str">
        <f>IF(D17&gt;0,基础信息!$B$1,"")</f>
        <v/>
      </c>
      <c r="B17" s="255"/>
      <c r="C17" s="276"/>
      <c r="D17" s="255"/>
      <c r="E17" s="255"/>
      <c r="F17" s="255"/>
      <c r="G17">
        <f t="shared" si="0"/>
        <v>0</v>
      </c>
      <c r="H17" s="255"/>
      <c r="I17" s="255"/>
      <c r="J17" s="255"/>
    </row>
    <row r="18" spans="1:10">
      <c r="A18" t="str">
        <f>IF(D18&gt;0,基础信息!$B$1,"")</f>
        <v/>
      </c>
      <c r="B18" s="255"/>
      <c r="C18" s="276"/>
      <c r="D18" s="255"/>
      <c r="E18" s="255"/>
      <c r="F18" s="255"/>
      <c r="G18">
        <f t="shared" si="0"/>
        <v>0</v>
      </c>
      <c r="H18" s="255"/>
      <c r="I18" s="255"/>
      <c r="J18" s="255"/>
    </row>
    <row r="19" spans="1:10">
      <c r="A19" t="str">
        <f>IF(D19&gt;0,基础信息!$B$1,"")</f>
        <v/>
      </c>
      <c r="B19" s="255"/>
      <c r="C19" s="276"/>
      <c r="D19" s="255"/>
      <c r="E19" s="255"/>
      <c r="F19" s="255"/>
      <c r="G19">
        <f t="shared" si="0"/>
        <v>0</v>
      </c>
      <c r="H19" s="255"/>
      <c r="I19" s="255"/>
      <c r="J19" s="255"/>
    </row>
    <row r="20" spans="1:10">
      <c r="A20" t="str">
        <f>IF(D20&gt;0,基础信息!$B$1,"")</f>
        <v/>
      </c>
      <c r="B20" s="255"/>
      <c r="C20" s="276"/>
      <c r="D20" s="255"/>
      <c r="E20" s="255"/>
      <c r="F20" s="255"/>
      <c r="G20">
        <f t="shared" si="0"/>
        <v>0</v>
      </c>
      <c r="H20" s="255"/>
      <c r="I20" s="255"/>
      <c r="J20" s="255"/>
    </row>
    <row r="21" spans="1:10">
      <c r="A21" t="str">
        <f>IF(D21&gt;0,基础信息!$B$1,"")</f>
        <v/>
      </c>
      <c r="B21" s="255"/>
      <c r="C21" s="276"/>
      <c r="D21" s="255"/>
      <c r="E21" s="255"/>
      <c r="F21" s="255"/>
      <c r="G21">
        <f t="shared" si="0"/>
        <v>0</v>
      </c>
      <c r="H21" s="255"/>
      <c r="I21" s="255"/>
      <c r="J21"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6A4C3C-19FC-4EB5-96F7-F891880DF92D}">
          <x14:formula1>
            <xm:f>分类表!$25:$25</xm:f>
          </x14:formula1>
          <xm:sqref>C2:C21</xm:sqref>
        </x14:dataValidation>
      </x14:dataValidations>
    </ext>
  </extLst>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codeName="Sheet206">
    <tabColor rgb="FFFFC000"/>
  </sheetPr>
  <dimension ref="A1:B7"/>
  <sheetViews>
    <sheetView workbookViewId="0">
      <selection activeCell="G14" sqref="G14"/>
    </sheetView>
  </sheetViews>
  <sheetFormatPr defaultRowHeight="13.8"/>
  <cols>
    <col min="1" max="1" width="13.88671875" style="18" bestFit="1" customWidth="1"/>
    <col min="2" max="2" width="15" style="1" bestFit="1" customWidth="1"/>
    <col min="3" max="16384" width="8.88671875" style="18"/>
  </cols>
  <sheetData>
    <row r="1" spans="1:2" ht="14.4">
      <c r="A1" s="31" t="s">
        <v>28</v>
      </c>
      <c r="B1" s="153" t="s">
        <v>3347</v>
      </c>
    </row>
    <row r="2" spans="1:2" ht="14.4">
      <c r="A2" s="32" t="s">
        <v>421</v>
      </c>
      <c r="B2" s="293">
        <f>ROUND(SUMIF(经营租赁租出固定资产明细表!C:C,通过经营租赁租出的固定资产!A2,经营租赁租出固定资产明细表!G:G),2)</f>
        <v>0</v>
      </c>
    </row>
    <row r="3" spans="1:2" ht="14.4">
      <c r="A3" s="32" t="s">
        <v>439</v>
      </c>
      <c r="B3" s="293">
        <f>ROUND(SUMIF(经营租赁租出固定资产明细表!C:C,通过经营租赁租出的固定资产!A3,经营租赁租出固定资产明细表!G:G),2)</f>
        <v>0</v>
      </c>
    </row>
    <row r="4" spans="1:2" ht="14.4">
      <c r="A4" s="32" t="s">
        <v>440</v>
      </c>
      <c r="B4" s="293">
        <f>ROUND(SUMIF(经营租赁租出固定资产明细表!C:C,通过经营租赁租出的固定资产!A4,经营租赁租出固定资产明细表!G:G),2)</f>
        <v>0</v>
      </c>
    </row>
    <row r="5" spans="1:2" ht="14.4">
      <c r="A5" s="32" t="s">
        <v>441</v>
      </c>
      <c r="B5" s="293">
        <f>ROUND(SUMIF(经营租赁租出固定资产明细表!C:C,通过经营租赁租出的固定资产!A5,经营租赁租出固定资产明细表!G:G),2)</f>
        <v>0</v>
      </c>
    </row>
    <row r="6" spans="1:2" ht="14.4">
      <c r="A6" s="32" t="s">
        <v>442</v>
      </c>
      <c r="B6" s="293">
        <f>ROUND(SUMIF(经营租赁租出固定资产明细表!C:C,通过经营租赁租出的固定资产!A6,经营租赁租出固定资产明细表!G:G),2)</f>
        <v>0</v>
      </c>
    </row>
    <row r="7" spans="1:2" ht="14.4">
      <c r="A7" s="31" t="s">
        <v>2404</v>
      </c>
      <c r="B7" s="556">
        <f>ROUND(SUM(B2:B6),2)</f>
        <v>0</v>
      </c>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923E-7FBB-4ADF-BF52-81332E46A2EB}">
  <sheetPr codeName="Sheet207"/>
  <dimension ref="A1:I21"/>
  <sheetViews>
    <sheetView workbookViewId="0">
      <selection activeCell="I5" sqref="I5"/>
    </sheetView>
  </sheetViews>
  <sheetFormatPr defaultRowHeight="13.8"/>
  <cols>
    <col min="3" max="3" width="9.5546875" bestFit="1" customWidth="1"/>
    <col min="7" max="7" width="10.6640625" style="229" bestFit="1" customWidth="1"/>
    <col min="8" max="9" width="9.5546875" bestFit="1" customWidth="1"/>
  </cols>
  <sheetData>
    <row r="1" spans="1:9">
      <c r="A1" t="s">
        <v>2383</v>
      </c>
      <c r="B1" t="s">
        <v>3546</v>
      </c>
      <c r="C1" t="s">
        <v>3537</v>
      </c>
      <c r="D1" t="s">
        <v>3392</v>
      </c>
      <c r="E1" t="s">
        <v>3541</v>
      </c>
      <c r="F1" t="s">
        <v>3542</v>
      </c>
      <c r="G1" s="229" t="s">
        <v>3543</v>
      </c>
      <c r="H1" t="s">
        <v>3548</v>
      </c>
      <c r="I1" t="s">
        <v>3547</v>
      </c>
    </row>
    <row r="2" spans="1:9">
      <c r="A2" t="str">
        <f>IF(D2&gt;0,基础信息!$B$1,"")</f>
        <v/>
      </c>
      <c r="B2" s="255"/>
      <c r="C2" s="276"/>
      <c r="D2" s="255"/>
      <c r="E2" s="255"/>
      <c r="F2" s="255"/>
      <c r="G2" s="229">
        <f>D2-E2-F2</f>
        <v>0</v>
      </c>
    </row>
    <row r="3" spans="1:9">
      <c r="A3" t="str">
        <f>IF(D3&gt;0,基础信息!$B$1,"")</f>
        <v/>
      </c>
      <c r="B3" s="255"/>
      <c r="C3" s="276"/>
      <c r="D3" s="255"/>
      <c r="E3" s="255"/>
      <c r="F3" s="255"/>
      <c r="G3" s="229">
        <f>D3-E3-F3</f>
        <v>0</v>
      </c>
    </row>
    <row r="4" spans="1:9">
      <c r="A4" t="str">
        <f>IF(D4&gt;0,基础信息!$B$1,"")</f>
        <v/>
      </c>
      <c r="B4" s="255"/>
      <c r="C4" s="276"/>
      <c r="D4" s="255"/>
      <c r="E4" s="255"/>
      <c r="F4" s="255"/>
      <c r="G4" s="229">
        <f>D4-E4-F4</f>
        <v>0</v>
      </c>
    </row>
    <row r="5" spans="1:9">
      <c r="A5" t="str">
        <f>IF(D5&gt;0,基础信息!$B$1,"")</f>
        <v/>
      </c>
      <c r="B5" s="255"/>
      <c r="C5" s="276"/>
      <c r="D5" s="255"/>
      <c r="E5" s="255"/>
      <c r="F5" s="255"/>
      <c r="G5" s="229">
        <f t="shared" ref="G5:G21" si="0">D5-E5-F5</f>
        <v>0</v>
      </c>
    </row>
    <row r="6" spans="1:9">
      <c r="A6" t="str">
        <f>IF(D6&gt;0,基础信息!$B$1,"")</f>
        <v/>
      </c>
      <c r="B6" s="255"/>
      <c r="C6" s="276"/>
      <c r="D6" s="255"/>
      <c r="E6" s="255"/>
      <c r="F6" s="255"/>
      <c r="G6" s="229">
        <f t="shared" si="0"/>
        <v>0</v>
      </c>
    </row>
    <row r="7" spans="1:9">
      <c r="A7" t="str">
        <f>IF(D7&gt;0,基础信息!$B$1,"")</f>
        <v/>
      </c>
      <c r="B7" s="255"/>
      <c r="C7" s="276"/>
      <c r="D7" s="255"/>
      <c r="E7" s="255"/>
      <c r="F7" s="255"/>
      <c r="G7" s="229">
        <f t="shared" si="0"/>
        <v>0</v>
      </c>
    </row>
    <row r="8" spans="1:9">
      <c r="A8" t="str">
        <f>IF(D8&gt;0,基础信息!$B$1,"")</f>
        <v/>
      </c>
      <c r="B8" s="255"/>
      <c r="C8" s="276"/>
      <c r="D8" s="255"/>
      <c r="E8" s="255"/>
      <c r="F8" s="255"/>
      <c r="G8" s="229">
        <f t="shared" si="0"/>
        <v>0</v>
      </c>
    </row>
    <row r="9" spans="1:9">
      <c r="A9" t="str">
        <f>IF(D9&gt;0,基础信息!$B$1,"")</f>
        <v/>
      </c>
      <c r="B9" s="255"/>
      <c r="C9" s="276"/>
      <c r="D9" s="255"/>
      <c r="E9" s="255"/>
      <c r="F9" s="255"/>
      <c r="G9" s="229">
        <f t="shared" si="0"/>
        <v>0</v>
      </c>
    </row>
    <row r="10" spans="1:9">
      <c r="A10" t="str">
        <f>IF(D10&gt;0,基础信息!$B$1,"")</f>
        <v/>
      </c>
      <c r="B10" s="255"/>
      <c r="C10" s="276"/>
      <c r="D10" s="255"/>
      <c r="E10" s="255"/>
      <c r="F10" s="255"/>
      <c r="G10" s="229">
        <f t="shared" si="0"/>
        <v>0</v>
      </c>
    </row>
    <row r="11" spans="1:9">
      <c r="A11" t="str">
        <f>IF(D11&gt;0,基础信息!$B$1,"")</f>
        <v/>
      </c>
      <c r="B11" s="255"/>
      <c r="C11" s="276"/>
      <c r="D11" s="255"/>
      <c r="E11" s="255"/>
      <c r="F11" s="255"/>
      <c r="G11" s="229">
        <f t="shared" si="0"/>
        <v>0</v>
      </c>
    </row>
    <row r="12" spans="1:9">
      <c r="A12" t="str">
        <f>IF(D12&gt;0,基础信息!$B$1,"")</f>
        <v/>
      </c>
      <c r="B12" s="255"/>
      <c r="C12" s="276"/>
      <c r="D12" s="255"/>
      <c r="E12" s="255"/>
      <c r="F12" s="255"/>
      <c r="G12" s="229">
        <f t="shared" si="0"/>
        <v>0</v>
      </c>
    </row>
    <row r="13" spans="1:9">
      <c r="A13" t="str">
        <f>IF(D13&gt;0,基础信息!$B$1,"")</f>
        <v/>
      </c>
      <c r="B13" s="255"/>
      <c r="C13" s="276"/>
      <c r="D13" s="255"/>
      <c r="E13" s="255"/>
      <c r="F13" s="255"/>
      <c r="G13" s="229">
        <f t="shared" si="0"/>
        <v>0</v>
      </c>
    </row>
    <row r="14" spans="1:9">
      <c r="A14" t="str">
        <f>IF(D14&gt;0,基础信息!$B$1,"")</f>
        <v/>
      </c>
      <c r="B14" s="255"/>
      <c r="C14" s="276"/>
      <c r="D14" s="255"/>
      <c r="E14" s="255"/>
      <c r="F14" s="255"/>
      <c r="G14" s="229">
        <f t="shared" si="0"/>
        <v>0</v>
      </c>
    </row>
    <row r="15" spans="1:9">
      <c r="A15" t="str">
        <f>IF(D15&gt;0,基础信息!$B$1,"")</f>
        <v/>
      </c>
      <c r="B15" s="255"/>
      <c r="C15" s="276"/>
      <c r="D15" s="255"/>
      <c r="E15" s="255"/>
      <c r="F15" s="255"/>
      <c r="G15" s="229">
        <f t="shared" si="0"/>
        <v>0</v>
      </c>
    </row>
    <row r="16" spans="1:9">
      <c r="A16" t="str">
        <f>IF(D16&gt;0,基础信息!$B$1,"")</f>
        <v/>
      </c>
      <c r="B16" s="255"/>
      <c r="C16" s="276"/>
      <c r="D16" s="255"/>
      <c r="E16" s="255"/>
      <c r="F16" s="255"/>
      <c r="G16" s="229">
        <f t="shared" si="0"/>
        <v>0</v>
      </c>
    </row>
    <row r="17" spans="1:7">
      <c r="A17" t="str">
        <f>IF(D17&gt;0,基础信息!$B$1,"")</f>
        <v/>
      </c>
      <c r="B17" s="255"/>
      <c r="C17" s="276"/>
      <c r="D17" s="255"/>
      <c r="E17" s="255"/>
      <c r="F17" s="255"/>
      <c r="G17" s="229">
        <f t="shared" si="0"/>
        <v>0</v>
      </c>
    </row>
    <row r="18" spans="1:7">
      <c r="A18" t="str">
        <f>IF(D18&gt;0,基础信息!$B$1,"")</f>
        <v/>
      </c>
      <c r="B18" s="255"/>
      <c r="C18" s="276"/>
      <c r="D18" s="255"/>
      <c r="E18" s="255"/>
      <c r="F18" s="255"/>
      <c r="G18" s="229">
        <f t="shared" si="0"/>
        <v>0</v>
      </c>
    </row>
    <row r="19" spans="1:7">
      <c r="A19" t="str">
        <f>IF(D19&gt;0,基础信息!$B$1,"")</f>
        <v/>
      </c>
      <c r="B19" s="255"/>
      <c r="C19" s="276"/>
      <c r="D19" s="255"/>
      <c r="E19" s="255"/>
      <c r="F19" s="255"/>
      <c r="G19" s="229">
        <f t="shared" si="0"/>
        <v>0</v>
      </c>
    </row>
    <row r="20" spans="1:7">
      <c r="A20" t="str">
        <f>IF(D20&gt;0,基础信息!$B$1,"")</f>
        <v/>
      </c>
      <c r="B20" s="255"/>
      <c r="C20" s="276"/>
      <c r="D20" s="255"/>
      <c r="E20" s="255"/>
      <c r="F20" s="255"/>
      <c r="G20" s="229">
        <f t="shared" si="0"/>
        <v>0</v>
      </c>
    </row>
    <row r="21" spans="1:7">
      <c r="A21" t="str">
        <f>IF(D21&gt;0,基础信息!$B$1,"")</f>
        <v/>
      </c>
      <c r="B21" s="255"/>
      <c r="C21" s="276"/>
      <c r="D21" s="255"/>
      <c r="E21" s="255"/>
      <c r="F21" s="255"/>
      <c r="G21"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F88DB2-31F0-4E4F-820A-E65DB7B3C061}">
          <x14:formula1>
            <xm:f>分类表!$25:$25</xm:f>
          </x14:formula1>
          <xm:sqref>C2:C21</xm:sqref>
        </x14:dataValidation>
      </x14:dataValidations>
    </ext>
  </extLst>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codeName="Sheet208">
    <tabColor rgb="FFFFC000"/>
  </sheetPr>
  <dimension ref="A1:C4"/>
  <sheetViews>
    <sheetView workbookViewId="0">
      <selection activeCell="I16" sqref="I16:I17"/>
    </sheetView>
  </sheetViews>
  <sheetFormatPr defaultRowHeight="13.8"/>
  <cols>
    <col min="1" max="2" width="8.88671875" style="18"/>
    <col min="3" max="3" width="23.88671875" style="18" customWidth="1"/>
    <col min="4" max="16384" width="8.88671875" style="18"/>
  </cols>
  <sheetData>
    <row r="1" spans="1:3" ht="14.4">
      <c r="A1" s="20" t="s">
        <v>28</v>
      </c>
      <c r="B1" s="20" t="s">
        <v>3361</v>
      </c>
      <c r="C1" s="20" t="s">
        <v>443</v>
      </c>
    </row>
    <row r="2" spans="1:3">
      <c r="A2" s="557"/>
      <c r="B2" s="554">
        <f>ROUND(SUMIF(未办妥权证的固定资产明细表!C:C,未办妥产权证书的固定资产情况!A2,未办妥权证的固定资产明细表!I:I),2)</f>
        <v>0</v>
      </c>
      <c r="C2" s="275"/>
    </row>
    <row r="3" spans="1:3">
      <c r="A3" s="557"/>
      <c r="B3" s="554">
        <f>ROUND(SUMIF(未办妥权证的固定资产明细表!C:C,未办妥产权证书的固定资产情况!A3,未办妥权证的固定资产明细表!I:I),2)</f>
        <v>0</v>
      </c>
      <c r="C3" s="275"/>
    </row>
    <row r="4" spans="1:3">
      <c r="A4" s="557"/>
      <c r="B4" s="554">
        <f>ROUND(SUMIF(未办妥权证的固定资产明细表!C:C,未办妥产权证书的固定资产情况!A4,未办妥权证的固定资产明细表!I:I),2)</f>
        <v>0</v>
      </c>
      <c r="C4" s="27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51659F-801A-4939-9495-36B1806B0111}">
          <x14:formula1>
            <xm:f>分类表!$25:$25</xm:f>
          </x14:formula1>
          <xm:sqref>A2:A4</xm:sqref>
        </x14:dataValidation>
      </x14:dataValidations>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C7E3-EDC3-4899-B126-1DFBC0D680EF}">
  <sheetPr codeName="Sheet209"/>
  <dimension ref="A1:I28"/>
  <sheetViews>
    <sheetView workbookViewId="0">
      <selection activeCell="H6" sqref="H6"/>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9" bestFit="1" customWidth="1"/>
  </cols>
  <sheetData>
    <row r="1" spans="1:9">
      <c r="A1" t="s">
        <v>2383</v>
      </c>
      <c r="B1" t="s">
        <v>3536</v>
      </c>
      <c r="C1" t="s">
        <v>3537</v>
      </c>
      <c r="D1" t="s">
        <v>432</v>
      </c>
      <c r="E1" t="s">
        <v>3538</v>
      </c>
      <c r="F1" t="s">
        <v>2477</v>
      </c>
      <c r="G1" t="s">
        <v>437</v>
      </c>
      <c r="H1" t="s">
        <v>3539</v>
      </c>
      <c r="I1" s="229" t="s">
        <v>3540</v>
      </c>
    </row>
    <row r="2" spans="1:9">
      <c r="A2" t="str">
        <f>IF(F2&gt;0,基础信息!$B$1,"")</f>
        <v/>
      </c>
      <c r="B2" s="255"/>
      <c r="C2" s="276"/>
      <c r="D2" s="255"/>
      <c r="E2" s="255"/>
      <c r="F2" s="255"/>
      <c r="G2" s="255"/>
      <c r="H2" s="255"/>
      <c r="I2" s="229">
        <f>F2-G2-H2</f>
        <v>0</v>
      </c>
    </row>
    <row r="3" spans="1:9">
      <c r="A3" t="str">
        <f>IF(F3&gt;0,基础信息!$B$1,"")</f>
        <v/>
      </c>
      <c r="B3" s="255"/>
      <c r="C3" s="276"/>
      <c r="D3" s="255"/>
      <c r="E3" s="255"/>
      <c r="F3" s="255"/>
      <c r="G3" s="255"/>
      <c r="H3" s="255"/>
      <c r="I3" s="229">
        <f t="shared" ref="I3:I28" si="0">F3-G3-H3</f>
        <v>0</v>
      </c>
    </row>
    <row r="4" spans="1:9">
      <c r="A4" t="str">
        <f>IF(F4&gt;0,基础信息!$B$1,"")</f>
        <v/>
      </c>
      <c r="B4" s="255"/>
      <c r="C4" s="276"/>
      <c r="D4" s="255"/>
      <c r="E4" s="255"/>
      <c r="F4" s="255"/>
      <c r="G4" s="255"/>
      <c r="H4" s="255"/>
      <c r="I4" s="229">
        <f t="shared" si="0"/>
        <v>0</v>
      </c>
    </row>
    <row r="5" spans="1:9">
      <c r="A5" t="str">
        <f>IF(F5&gt;0,基础信息!$B$1,"")</f>
        <v/>
      </c>
      <c r="B5" s="255"/>
      <c r="C5" s="276"/>
      <c r="D5" s="255"/>
      <c r="E5" s="255"/>
      <c r="F5" s="255"/>
      <c r="G5" s="255"/>
      <c r="H5" s="255"/>
      <c r="I5" s="229">
        <f t="shared" si="0"/>
        <v>0</v>
      </c>
    </row>
    <row r="6" spans="1:9">
      <c r="A6" t="str">
        <f>IF(F6&gt;0,基础信息!$B$1,"")</f>
        <v/>
      </c>
      <c r="B6" s="255"/>
      <c r="C6" s="276"/>
      <c r="D6" s="255"/>
      <c r="E6" s="255"/>
      <c r="F6" s="255"/>
      <c r="G6" s="255"/>
      <c r="H6" s="255"/>
      <c r="I6" s="229">
        <f t="shared" si="0"/>
        <v>0</v>
      </c>
    </row>
    <row r="7" spans="1:9">
      <c r="A7" t="str">
        <f>IF(F7&gt;0,基础信息!$B$1,"")</f>
        <v/>
      </c>
      <c r="B7" s="255"/>
      <c r="C7" s="276"/>
      <c r="D7" s="255"/>
      <c r="E7" s="255"/>
      <c r="F7" s="255"/>
      <c r="G7" s="255"/>
      <c r="H7" s="255"/>
      <c r="I7" s="229">
        <f t="shared" si="0"/>
        <v>0</v>
      </c>
    </row>
    <row r="8" spans="1:9">
      <c r="A8" t="str">
        <f>IF(F8&gt;0,基础信息!$B$1,"")</f>
        <v/>
      </c>
      <c r="B8" s="255"/>
      <c r="C8" s="276"/>
      <c r="D8" s="255"/>
      <c r="E8" s="255"/>
      <c r="F8" s="255"/>
      <c r="G8" s="255"/>
      <c r="H8" s="255"/>
      <c r="I8" s="229">
        <f t="shared" si="0"/>
        <v>0</v>
      </c>
    </row>
    <row r="9" spans="1:9">
      <c r="A9" t="str">
        <f>IF(F9&gt;0,基础信息!$B$1,"")</f>
        <v/>
      </c>
      <c r="B9" s="255"/>
      <c r="C9" s="276"/>
      <c r="D9" s="255"/>
      <c r="E9" s="255"/>
      <c r="F9" s="255"/>
      <c r="G9" s="255"/>
      <c r="H9" s="255"/>
      <c r="I9" s="229">
        <f t="shared" si="0"/>
        <v>0</v>
      </c>
    </row>
    <row r="10" spans="1:9">
      <c r="A10" t="str">
        <f>IF(F10&gt;0,基础信息!$B$1,"")</f>
        <v/>
      </c>
      <c r="B10" s="255"/>
      <c r="C10" s="276"/>
      <c r="D10" s="255"/>
      <c r="E10" s="255"/>
      <c r="F10" s="255"/>
      <c r="G10" s="255"/>
      <c r="H10" s="255"/>
      <c r="I10" s="229">
        <f t="shared" si="0"/>
        <v>0</v>
      </c>
    </row>
    <row r="11" spans="1:9">
      <c r="A11" t="str">
        <f>IF(F11&gt;0,基础信息!$B$1,"")</f>
        <v/>
      </c>
      <c r="B11" s="255"/>
      <c r="C11" s="276"/>
      <c r="D11" s="255"/>
      <c r="E11" s="255"/>
      <c r="F11" s="255"/>
      <c r="G11" s="255"/>
      <c r="H11" s="255"/>
      <c r="I11" s="229">
        <f t="shared" si="0"/>
        <v>0</v>
      </c>
    </row>
    <row r="12" spans="1:9">
      <c r="A12" t="str">
        <f>IF(F12&gt;0,基础信息!$B$1,"")</f>
        <v/>
      </c>
      <c r="B12" s="255"/>
      <c r="C12" s="276"/>
      <c r="D12" s="255"/>
      <c r="E12" s="255"/>
      <c r="F12" s="255"/>
      <c r="G12" s="255"/>
      <c r="H12" s="255"/>
      <c r="I12" s="229">
        <f t="shared" si="0"/>
        <v>0</v>
      </c>
    </row>
    <row r="13" spans="1:9">
      <c r="A13" t="str">
        <f>IF(F13&gt;0,基础信息!$B$1,"")</f>
        <v/>
      </c>
      <c r="B13" s="255"/>
      <c r="C13" s="276"/>
      <c r="D13" s="255"/>
      <c r="E13" s="255"/>
      <c r="F13" s="255"/>
      <c r="G13" s="255"/>
      <c r="H13" s="255"/>
      <c r="I13" s="229">
        <f t="shared" si="0"/>
        <v>0</v>
      </c>
    </row>
    <row r="14" spans="1:9">
      <c r="A14" t="str">
        <f>IF(F14&gt;0,基础信息!$B$1,"")</f>
        <v/>
      </c>
      <c r="B14" s="255"/>
      <c r="C14" s="276"/>
      <c r="D14" s="255"/>
      <c r="E14" s="255"/>
      <c r="F14" s="255"/>
      <c r="G14" s="255"/>
      <c r="H14" s="255"/>
      <c r="I14" s="229">
        <f t="shared" si="0"/>
        <v>0</v>
      </c>
    </row>
    <row r="15" spans="1:9">
      <c r="A15" t="str">
        <f>IF(F15&gt;0,基础信息!$B$1,"")</f>
        <v/>
      </c>
      <c r="B15" s="255"/>
      <c r="C15" s="276"/>
      <c r="D15" s="255"/>
      <c r="E15" s="255"/>
      <c r="F15" s="255"/>
      <c r="G15" s="255"/>
      <c r="H15" s="255"/>
      <c r="I15" s="229">
        <f t="shared" si="0"/>
        <v>0</v>
      </c>
    </row>
    <row r="16" spans="1:9">
      <c r="A16" t="str">
        <f>IF(F16&gt;0,基础信息!$B$1,"")</f>
        <v/>
      </c>
      <c r="B16" s="255"/>
      <c r="C16" s="276"/>
      <c r="D16" s="255"/>
      <c r="E16" s="255"/>
      <c r="F16" s="255"/>
      <c r="G16" s="255"/>
      <c r="H16" s="255"/>
      <c r="I16" s="229">
        <f t="shared" si="0"/>
        <v>0</v>
      </c>
    </row>
    <row r="17" spans="1:9">
      <c r="A17" t="str">
        <f>IF(F17&gt;0,基础信息!$B$1,"")</f>
        <v/>
      </c>
      <c r="B17" s="255"/>
      <c r="C17" s="276"/>
      <c r="D17" s="255"/>
      <c r="E17" s="255"/>
      <c r="F17" s="255"/>
      <c r="G17" s="255"/>
      <c r="H17" s="255"/>
      <c r="I17" s="229">
        <f t="shared" si="0"/>
        <v>0</v>
      </c>
    </row>
    <row r="18" spans="1:9">
      <c r="A18" t="str">
        <f>IF(F18&gt;0,基础信息!$B$1,"")</f>
        <v/>
      </c>
      <c r="B18" s="255"/>
      <c r="C18" s="276"/>
      <c r="D18" s="255"/>
      <c r="E18" s="255"/>
      <c r="F18" s="255"/>
      <c r="G18" s="255"/>
      <c r="H18" s="255"/>
      <c r="I18" s="229">
        <f t="shared" si="0"/>
        <v>0</v>
      </c>
    </row>
    <row r="19" spans="1:9">
      <c r="A19" t="str">
        <f>IF(F19&gt;0,基础信息!$B$1,"")</f>
        <v/>
      </c>
      <c r="B19" s="255"/>
      <c r="C19" s="276"/>
      <c r="D19" s="255"/>
      <c r="E19" s="255"/>
      <c r="F19" s="255"/>
      <c r="G19" s="255"/>
      <c r="H19" s="255"/>
      <c r="I19" s="229">
        <f t="shared" si="0"/>
        <v>0</v>
      </c>
    </row>
    <row r="20" spans="1:9">
      <c r="A20" t="str">
        <f>IF(F20&gt;0,基础信息!$B$1,"")</f>
        <v/>
      </c>
      <c r="B20" s="255"/>
      <c r="C20" s="276"/>
      <c r="D20" s="255"/>
      <c r="E20" s="255"/>
      <c r="F20" s="255"/>
      <c r="G20" s="255"/>
      <c r="H20" s="255"/>
      <c r="I20" s="229">
        <f t="shared" si="0"/>
        <v>0</v>
      </c>
    </row>
    <row r="21" spans="1:9">
      <c r="A21" t="str">
        <f>IF(F21&gt;0,基础信息!$B$1,"")</f>
        <v/>
      </c>
      <c r="B21" s="255"/>
      <c r="C21" s="276"/>
      <c r="D21" s="255"/>
      <c r="E21" s="255"/>
      <c r="F21" s="255"/>
      <c r="G21" s="255"/>
      <c r="H21" s="255"/>
      <c r="I21" s="229">
        <f t="shared" si="0"/>
        <v>0</v>
      </c>
    </row>
    <row r="22" spans="1:9">
      <c r="A22" t="str">
        <f>IF(F22&gt;0,基础信息!$B$1,"")</f>
        <v/>
      </c>
      <c r="B22" s="255"/>
      <c r="C22" s="276"/>
      <c r="D22" s="255"/>
      <c r="E22" s="255"/>
      <c r="F22" s="255"/>
      <c r="G22" s="255"/>
      <c r="H22" s="255"/>
      <c r="I22" s="229">
        <f t="shared" si="0"/>
        <v>0</v>
      </c>
    </row>
    <row r="23" spans="1:9">
      <c r="A23" t="str">
        <f>IF(F23&gt;0,基础信息!$B$1,"")</f>
        <v/>
      </c>
      <c r="B23" s="255"/>
      <c r="C23" s="276"/>
      <c r="D23" s="255"/>
      <c r="E23" s="255"/>
      <c r="F23" s="255"/>
      <c r="G23" s="255"/>
      <c r="H23" s="255"/>
      <c r="I23" s="229">
        <f t="shared" si="0"/>
        <v>0</v>
      </c>
    </row>
    <row r="24" spans="1:9">
      <c r="A24" t="str">
        <f>IF(F24&gt;0,基础信息!$B$1,"")</f>
        <v/>
      </c>
      <c r="B24" s="255"/>
      <c r="C24" s="276"/>
      <c r="D24" s="255"/>
      <c r="E24" s="255"/>
      <c r="F24" s="255"/>
      <c r="G24" s="255"/>
      <c r="H24" s="255"/>
      <c r="I24" s="229">
        <f t="shared" si="0"/>
        <v>0</v>
      </c>
    </row>
    <row r="25" spans="1:9">
      <c r="A25" t="str">
        <f>IF(F25&gt;0,基础信息!$B$1,"")</f>
        <v/>
      </c>
      <c r="B25" s="255"/>
      <c r="C25" s="276"/>
      <c r="D25" s="255"/>
      <c r="E25" s="255"/>
      <c r="F25" s="255"/>
      <c r="G25" s="255"/>
      <c r="H25" s="255"/>
      <c r="I25" s="229">
        <f t="shared" si="0"/>
        <v>0</v>
      </c>
    </row>
    <row r="26" spans="1:9">
      <c r="A26" t="str">
        <f>IF(F26&gt;0,基础信息!$B$1,"")</f>
        <v/>
      </c>
      <c r="B26" s="255"/>
      <c r="C26" s="276"/>
      <c r="D26" s="255"/>
      <c r="E26" s="255"/>
      <c r="F26" s="255"/>
      <c r="G26" s="255"/>
      <c r="H26" s="255"/>
      <c r="I26" s="229">
        <f t="shared" si="0"/>
        <v>0</v>
      </c>
    </row>
    <row r="27" spans="1:9">
      <c r="A27" t="str">
        <f>IF(F27&gt;0,基础信息!$B$1,"")</f>
        <v/>
      </c>
      <c r="B27" s="255"/>
      <c r="C27" s="276"/>
      <c r="D27" s="255"/>
      <c r="E27" s="255"/>
      <c r="F27" s="255"/>
      <c r="G27" s="255"/>
      <c r="H27" s="255"/>
      <c r="I27" s="229">
        <f t="shared" si="0"/>
        <v>0</v>
      </c>
    </row>
    <row r="28" spans="1:9">
      <c r="A28" t="str">
        <f>IF(F28&gt;0,基础信息!$B$1,"")</f>
        <v/>
      </c>
      <c r="B28" s="255"/>
      <c r="C28" s="276"/>
      <c r="D28" s="255"/>
      <c r="E28" s="255"/>
      <c r="F28" s="255"/>
      <c r="G28" s="255"/>
      <c r="H28" s="255"/>
      <c r="I28"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D718B3B-2E77-4352-BD68-7B724B7CDAC5}">
          <x14:formula1>
            <xm:f>分类表!$22:$22</xm:f>
          </x14:formula1>
          <xm:sqref>C2:C28</xm:sqref>
        </x14:dataValidation>
      </x14:dataValidation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codeName="Sheet210">
    <tabColor rgb="FFFFC000"/>
  </sheetPr>
  <dimension ref="A1:D4"/>
  <sheetViews>
    <sheetView workbookViewId="0">
      <selection activeCell="E13" sqref="E13"/>
    </sheetView>
  </sheetViews>
  <sheetFormatPr defaultRowHeight="13.8"/>
  <cols>
    <col min="1" max="1" width="17" style="18" customWidth="1"/>
    <col min="2" max="3" width="8.5546875" style="1" bestFit="1" customWidth="1"/>
    <col min="4" max="4" width="17.33203125" style="1" bestFit="1" customWidth="1"/>
    <col min="5" max="16384" width="8.88671875" style="18"/>
  </cols>
  <sheetData>
    <row r="1" spans="1:4" ht="14.4">
      <c r="A1" s="31" t="s">
        <v>28</v>
      </c>
      <c r="B1" s="153" t="s">
        <v>203</v>
      </c>
      <c r="C1" s="153" t="s">
        <v>265</v>
      </c>
      <c r="D1" s="1" t="s">
        <v>2482</v>
      </c>
    </row>
    <row r="2" spans="1:4" ht="14.4">
      <c r="A2" s="377"/>
      <c r="B2" s="293">
        <f>ROUND(SUMIF(固定资产清理明细表!C:C,固定资产清理!A2,固定资产清理明细表!G:G),2)</f>
        <v>0</v>
      </c>
      <c r="C2" s="267"/>
      <c r="D2" s="138"/>
    </row>
    <row r="3" spans="1:4" ht="14.4">
      <c r="A3" s="377"/>
      <c r="B3" s="293">
        <f>ROUND(SUMIF(固定资产清理明细表!C:C,固定资产清理!A3,固定资产清理明细表!G:G),2)</f>
        <v>0</v>
      </c>
      <c r="C3" s="267"/>
      <c r="D3" s="138"/>
    </row>
    <row r="4" spans="1:4" ht="14.4">
      <c r="A4" s="31" t="s">
        <v>262</v>
      </c>
      <c r="B4" s="68">
        <f>ROUND(SUM(B2),2)</f>
        <v>0</v>
      </c>
      <c r="C4" s="68">
        <f>ROUND(SUM(C2),2)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0DC84D-DB10-437D-AD15-C48D32E22EC9}">
          <x14:formula1>
            <xm:f>分类表!$25:$25</xm:f>
          </x14:formula1>
          <xm:sqref>A2:A3</xm:sqref>
        </x14:dataValidation>
      </x14:dataValidation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7157-0283-41DD-8734-F18C8509202C}">
  <sheetPr codeName="Sheet211"/>
  <dimension ref="A1:I28"/>
  <sheetViews>
    <sheetView topLeftCell="A4" workbookViewId="0">
      <selection activeCell="L17" sqref="L17"/>
    </sheetView>
  </sheetViews>
  <sheetFormatPr defaultRowHeight="13.8"/>
  <cols>
    <col min="2" max="3" width="9.5546875" bestFit="1" customWidth="1"/>
    <col min="8" max="8" width="13.88671875" bestFit="1" customWidth="1"/>
    <col min="9" max="9" width="16.109375" bestFit="1" customWidth="1"/>
  </cols>
  <sheetData>
    <row r="1" spans="1:9">
      <c r="A1" t="s">
        <v>2383</v>
      </c>
      <c r="B1" t="s">
        <v>3536</v>
      </c>
      <c r="C1" t="s">
        <v>3537</v>
      </c>
      <c r="D1" t="s">
        <v>2477</v>
      </c>
      <c r="E1" t="s">
        <v>437</v>
      </c>
      <c r="F1" t="s">
        <v>3539</v>
      </c>
      <c r="G1" s="229" t="s">
        <v>3540</v>
      </c>
      <c r="H1" t="s">
        <v>3549</v>
      </c>
      <c r="I1" t="s">
        <v>2482</v>
      </c>
    </row>
    <row r="2" spans="1:9">
      <c r="A2" t="str">
        <f>IF(D2&gt;0,基础信息!$B$1,"")</f>
        <v/>
      </c>
      <c r="B2" s="255"/>
      <c r="C2" s="276"/>
      <c r="D2" s="255"/>
      <c r="E2" s="255"/>
      <c r="F2" s="255"/>
      <c r="G2" s="229">
        <f>D2-E2-F2</f>
        <v>0</v>
      </c>
      <c r="H2" s="255"/>
      <c r="I2" s="255"/>
    </row>
    <row r="3" spans="1:9">
      <c r="A3" t="str">
        <f>IF(D3&gt;0,基础信息!$B$1,"")</f>
        <v/>
      </c>
      <c r="B3" s="255"/>
      <c r="C3" s="276"/>
      <c r="D3" s="255"/>
      <c r="E3" s="255"/>
      <c r="F3" s="255"/>
      <c r="G3" s="229">
        <f t="shared" ref="G3:G28" si="0">D3-E3-F3</f>
        <v>0</v>
      </c>
      <c r="H3" s="255"/>
      <c r="I3" s="255"/>
    </row>
    <row r="4" spans="1:9">
      <c r="A4" t="str">
        <f>IF(D4&gt;0,基础信息!$B$1,"")</f>
        <v/>
      </c>
      <c r="B4" s="255"/>
      <c r="C4" s="276"/>
      <c r="D4" s="255"/>
      <c r="E4" s="255"/>
      <c r="F4" s="255"/>
      <c r="G4" s="229">
        <f t="shared" si="0"/>
        <v>0</v>
      </c>
      <c r="H4" s="255"/>
      <c r="I4" s="255"/>
    </row>
    <row r="5" spans="1:9">
      <c r="A5" t="str">
        <f>IF(D5&gt;0,基础信息!$B$1,"")</f>
        <v/>
      </c>
      <c r="B5" s="255"/>
      <c r="C5" s="276"/>
      <c r="D5" s="255"/>
      <c r="E5" s="255"/>
      <c r="F5" s="255"/>
      <c r="G5" s="229">
        <f t="shared" si="0"/>
        <v>0</v>
      </c>
      <c r="H5" s="255"/>
      <c r="I5" s="255"/>
    </row>
    <row r="6" spans="1:9">
      <c r="A6" t="str">
        <f>IF(D6&gt;0,基础信息!$B$1,"")</f>
        <v/>
      </c>
      <c r="B6" s="255"/>
      <c r="C6" s="276"/>
      <c r="D6" s="255"/>
      <c r="E6" s="255"/>
      <c r="F6" s="255"/>
      <c r="G6" s="229">
        <f t="shared" si="0"/>
        <v>0</v>
      </c>
      <c r="H6" s="255"/>
      <c r="I6" s="255"/>
    </row>
    <row r="7" spans="1:9">
      <c r="A7" t="str">
        <f>IF(D7&gt;0,基础信息!$B$1,"")</f>
        <v/>
      </c>
      <c r="B7" s="255"/>
      <c r="C7" s="276"/>
      <c r="D7" s="255"/>
      <c r="E7" s="255"/>
      <c r="F7" s="255"/>
      <c r="G7" s="229">
        <f t="shared" si="0"/>
        <v>0</v>
      </c>
      <c r="H7" s="255"/>
      <c r="I7" s="255"/>
    </row>
    <row r="8" spans="1:9">
      <c r="A8" t="str">
        <f>IF(D8&gt;0,基础信息!$B$1,"")</f>
        <v/>
      </c>
      <c r="B8" s="255"/>
      <c r="C8" s="276"/>
      <c r="D8" s="255"/>
      <c r="E8" s="255"/>
      <c r="F8" s="255"/>
      <c r="G8" s="229">
        <f t="shared" si="0"/>
        <v>0</v>
      </c>
      <c r="H8" s="255"/>
      <c r="I8" s="255"/>
    </row>
    <row r="9" spans="1:9">
      <c r="A9" t="str">
        <f>IF(D9&gt;0,基础信息!$B$1,"")</f>
        <v/>
      </c>
      <c r="B9" s="255"/>
      <c r="C9" s="276"/>
      <c r="D9" s="255"/>
      <c r="E9" s="255"/>
      <c r="F9" s="255"/>
      <c r="G9" s="229">
        <f t="shared" si="0"/>
        <v>0</v>
      </c>
      <c r="H9" s="255"/>
      <c r="I9" s="255"/>
    </row>
    <row r="10" spans="1:9">
      <c r="A10" t="str">
        <f>IF(D10&gt;0,基础信息!$B$1,"")</f>
        <v/>
      </c>
      <c r="B10" s="255"/>
      <c r="C10" s="276"/>
      <c r="D10" s="255"/>
      <c r="E10" s="255"/>
      <c r="F10" s="255"/>
      <c r="G10" s="229">
        <f t="shared" si="0"/>
        <v>0</v>
      </c>
      <c r="H10" s="255"/>
      <c r="I10" s="255"/>
    </row>
    <row r="11" spans="1:9">
      <c r="A11" t="str">
        <f>IF(D11&gt;0,基础信息!$B$1,"")</f>
        <v/>
      </c>
      <c r="B11" s="255"/>
      <c r="C11" s="276"/>
      <c r="D11" s="255"/>
      <c r="E11" s="255"/>
      <c r="F11" s="255"/>
      <c r="G11" s="229">
        <f t="shared" si="0"/>
        <v>0</v>
      </c>
      <c r="H11" s="255"/>
      <c r="I11" s="255"/>
    </row>
    <row r="12" spans="1:9">
      <c r="A12" t="str">
        <f>IF(D12&gt;0,基础信息!$B$1,"")</f>
        <v/>
      </c>
      <c r="B12" s="255"/>
      <c r="C12" s="276"/>
      <c r="D12" s="255"/>
      <c r="E12" s="255"/>
      <c r="F12" s="255"/>
      <c r="G12" s="229">
        <f t="shared" si="0"/>
        <v>0</v>
      </c>
      <c r="H12" s="255"/>
      <c r="I12" s="255"/>
    </row>
    <row r="13" spans="1:9">
      <c r="A13" t="str">
        <f>IF(D13&gt;0,基础信息!$B$1,"")</f>
        <v/>
      </c>
      <c r="B13" s="255"/>
      <c r="C13" s="276"/>
      <c r="D13" s="255"/>
      <c r="E13" s="255"/>
      <c r="F13" s="255"/>
      <c r="G13" s="229">
        <f t="shared" si="0"/>
        <v>0</v>
      </c>
      <c r="H13" s="255"/>
      <c r="I13" s="255"/>
    </row>
    <row r="14" spans="1:9">
      <c r="A14" t="str">
        <f>IF(D14&gt;0,基础信息!$B$1,"")</f>
        <v/>
      </c>
      <c r="B14" s="255"/>
      <c r="C14" s="276"/>
      <c r="D14" s="255"/>
      <c r="E14" s="255"/>
      <c r="F14" s="255"/>
      <c r="G14" s="229">
        <f t="shared" si="0"/>
        <v>0</v>
      </c>
      <c r="H14" s="255"/>
      <c r="I14" s="255"/>
    </row>
    <row r="15" spans="1:9">
      <c r="A15" t="str">
        <f>IF(D15&gt;0,基础信息!$B$1,"")</f>
        <v/>
      </c>
      <c r="B15" s="255"/>
      <c r="C15" s="276"/>
      <c r="D15" s="255"/>
      <c r="E15" s="255"/>
      <c r="F15" s="255"/>
      <c r="G15" s="229">
        <f t="shared" si="0"/>
        <v>0</v>
      </c>
      <c r="H15" s="255"/>
      <c r="I15" s="255"/>
    </row>
    <row r="16" spans="1:9">
      <c r="A16" t="str">
        <f>IF(D16&gt;0,基础信息!$B$1,"")</f>
        <v/>
      </c>
      <c r="B16" s="255"/>
      <c r="C16" s="276"/>
      <c r="D16" s="255"/>
      <c r="E16" s="255"/>
      <c r="F16" s="255"/>
      <c r="G16" s="229">
        <f t="shared" si="0"/>
        <v>0</v>
      </c>
      <c r="H16" s="255"/>
      <c r="I16" s="255"/>
    </row>
    <row r="17" spans="1:9">
      <c r="A17" t="str">
        <f>IF(D17&gt;0,基础信息!$B$1,"")</f>
        <v/>
      </c>
      <c r="B17" s="255"/>
      <c r="C17" s="276"/>
      <c r="D17" s="255"/>
      <c r="E17" s="255"/>
      <c r="F17" s="255"/>
      <c r="G17" s="229">
        <f t="shared" si="0"/>
        <v>0</v>
      </c>
      <c r="H17" s="255"/>
      <c r="I17" s="255"/>
    </row>
    <row r="18" spans="1:9">
      <c r="A18" t="str">
        <f>IF(D18&gt;0,基础信息!$B$1,"")</f>
        <v/>
      </c>
      <c r="B18" s="255"/>
      <c r="C18" s="276"/>
      <c r="D18" s="255"/>
      <c r="E18" s="255"/>
      <c r="F18" s="255"/>
      <c r="G18" s="229">
        <f t="shared" si="0"/>
        <v>0</v>
      </c>
      <c r="H18" s="255"/>
      <c r="I18" s="255"/>
    </row>
    <row r="19" spans="1:9">
      <c r="A19" t="str">
        <f>IF(D19&gt;0,基础信息!$B$1,"")</f>
        <v/>
      </c>
      <c r="B19" s="255"/>
      <c r="C19" s="276"/>
      <c r="D19" s="255"/>
      <c r="E19" s="255"/>
      <c r="F19" s="255"/>
      <c r="G19" s="229">
        <f t="shared" si="0"/>
        <v>0</v>
      </c>
      <c r="H19" s="255"/>
      <c r="I19" s="255"/>
    </row>
    <row r="20" spans="1:9">
      <c r="A20" t="str">
        <f>IF(D20&gt;0,基础信息!$B$1,"")</f>
        <v/>
      </c>
      <c r="B20" s="255"/>
      <c r="C20" s="276"/>
      <c r="D20" s="255"/>
      <c r="E20" s="255"/>
      <c r="F20" s="255"/>
      <c r="G20" s="229">
        <f t="shared" si="0"/>
        <v>0</v>
      </c>
      <c r="H20" s="255"/>
      <c r="I20" s="255"/>
    </row>
    <row r="21" spans="1:9">
      <c r="A21" t="str">
        <f>IF(D21&gt;0,基础信息!$B$1,"")</f>
        <v/>
      </c>
      <c r="B21" s="255"/>
      <c r="C21" s="276"/>
      <c r="D21" s="255"/>
      <c r="E21" s="255"/>
      <c r="F21" s="255"/>
      <c r="G21" s="229">
        <f t="shared" si="0"/>
        <v>0</v>
      </c>
      <c r="H21" s="255"/>
      <c r="I21" s="255"/>
    </row>
    <row r="22" spans="1:9">
      <c r="A22" t="str">
        <f>IF(D22&gt;0,基础信息!$B$1,"")</f>
        <v/>
      </c>
      <c r="B22" s="255"/>
      <c r="C22" s="276"/>
      <c r="D22" s="255"/>
      <c r="E22" s="255"/>
      <c r="F22" s="255"/>
      <c r="G22" s="229">
        <f t="shared" si="0"/>
        <v>0</v>
      </c>
      <c r="H22" s="255"/>
      <c r="I22" s="255"/>
    </row>
    <row r="23" spans="1:9">
      <c r="A23" t="str">
        <f>IF(D23&gt;0,基础信息!$B$1,"")</f>
        <v/>
      </c>
      <c r="B23" s="255"/>
      <c r="C23" s="276"/>
      <c r="D23" s="255"/>
      <c r="E23" s="255"/>
      <c r="F23" s="255"/>
      <c r="G23" s="229">
        <f t="shared" si="0"/>
        <v>0</v>
      </c>
      <c r="H23" s="255"/>
      <c r="I23" s="255"/>
    </row>
    <row r="24" spans="1:9">
      <c r="A24" t="str">
        <f>IF(D24&gt;0,基础信息!$B$1,"")</f>
        <v/>
      </c>
      <c r="B24" s="255"/>
      <c r="C24" s="276"/>
      <c r="D24" s="255"/>
      <c r="E24" s="255"/>
      <c r="F24" s="255"/>
      <c r="G24" s="229">
        <f t="shared" si="0"/>
        <v>0</v>
      </c>
      <c r="H24" s="255"/>
      <c r="I24" s="255"/>
    </row>
    <row r="25" spans="1:9">
      <c r="A25" t="str">
        <f>IF(D25&gt;0,基础信息!$B$1,"")</f>
        <v/>
      </c>
      <c r="B25" s="255"/>
      <c r="C25" s="276"/>
      <c r="D25" s="255"/>
      <c r="E25" s="255"/>
      <c r="F25" s="255"/>
      <c r="G25" s="229">
        <f t="shared" si="0"/>
        <v>0</v>
      </c>
      <c r="H25" s="255"/>
      <c r="I25" s="255"/>
    </row>
    <row r="26" spans="1:9">
      <c r="A26" t="str">
        <f>IF(D26&gt;0,基础信息!$B$1,"")</f>
        <v/>
      </c>
      <c r="B26" s="255"/>
      <c r="C26" s="276"/>
      <c r="D26" s="255"/>
      <c r="E26" s="255"/>
      <c r="F26" s="255"/>
      <c r="G26" s="229">
        <f t="shared" si="0"/>
        <v>0</v>
      </c>
      <c r="H26" s="255"/>
      <c r="I26" s="255"/>
    </row>
    <row r="27" spans="1:9">
      <c r="A27" t="str">
        <f>IF(D27&gt;0,基础信息!$B$1,"")</f>
        <v/>
      </c>
      <c r="B27" s="255"/>
      <c r="C27" s="276"/>
      <c r="D27" s="255"/>
      <c r="E27" s="255"/>
      <c r="F27" s="255"/>
      <c r="G27" s="229">
        <f t="shared" si="0"/>
        <v>0</v>
      </c>
      <c r="H27" s="255"/>
      <c r="I27" s="255"/>
    </row>
    <row r="28" spans="1:9">
      <c r="A28" t="str">
        <f>IF(D28&gt;0,基础信息!$B$1,"")</f>
        <v/>
      </c>
      <c r="B28" s="255"/>
      <c r="C28" s="276"/>
      <c r="D28" s="255"/>
      <c r="E28" s="255"/>
      <c r="F28" s="255"/>
      <c r="G28" s="229">
        <f t="shared" si="0"/>
        <v>0</v>
      </c>
      <c r="H28" s="255"/>
      <c r="I28"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C756A2-A508-47FC-AACE-2F01AE484C13}">
          <x14:formula1>
            <xm:f>分类表!$25:$25</xm:f>
          </x14:formula1>
          <xm:sqref>C2:C28</xm:sqref>
        </x14:dataValidation>
      </x14:dataValidations>
    </ext>
  </extLst>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sheetPr codeName="Sheet212">
    <tabColor rgb="FFFFC000"/>
  </sheetPr>
  <dimension ref="A1:N26"/>
  <sheetViews>
    <sheetView workbookViewId="0">
      <selection activeCell="E14" sqref="E14"/>
    </sheetView>
  </sheetViews>
  <sheetFormatPr defaultRowHeight="13.8"/>
  <cols>
    <col min="1" max="1" width="8.88671875" style="18"/>
    <col min="2" max="3" width="8.88671875" style="1"/>
    <col min="4" max="12" width="8.88671875" style="18"/>
    <col min="13" max="14" width="13.33203125" style="18" bestFit="1" customWidth="1"/>
    <col min="15" max="16384" width="8.88671875" style="18"/>
  </cols>
  <sheetData>
    <row r="1" spans="1:3" ht="14.4">
      <c r="A1" s="31" t="s">
        <v>28</v>
      </c>
      <c r="B1" s="153" t="s">
        <v>203</v>
      </c>
      <c r="C1" s="153" t="s">
        <v>265</v>
      </c>
    </row>
    <row r="2" spans="1:3" ht="14.4">
      <c r="A2" s="32" t="s">
        <v>423</v>
      </c>
      <c r="B2" s="68">
        <f>ROUND(在建工程情况!D16,2)</f>
        <v>0</v>
      </c>
      <c r="C2" s="68">
        <f>ROUND(在建工程情况!G16,2)</f>
        <v>0</v>
      </c>
    </row>
    <row r="3" spans="1:3" ht="14.4">
      <c r="A3" s="32" t="s">
        <v>444</v>
      </c>
      <c r="B3" s="68">
        <f>ROUND(ROUND(工程物资!B5,2),2)</f>
        <v>0</v>
      </c>
      <c r="C3" s="68">
        <f>ROUND(ROUND(工程物资!C5,2),2)</f>
        <v>0</v>
      </c>
    </row>
    <row r="4" spans="1:3" ht="14.4">
      <c r="A4" s="31" t="s">
        <v>204</v>
      </c>
      <c r="B4" s="68">
        <f>ROUND(SUM(B2:B3),2)</f>
        <v>0</v>
      </c>
      <c r="C4" s="68">
        <f>ROUND(SUM(C2:C3),2)</f>
        <v>0</v>
      </c>
    </row>
    <row r="17" spans="13:14">
      <c r="M17" s="1"/>
    </row>
    <row r="18" spans="13:14">
      <c r="M18" s="1"/>
    </row>
    <row r="19" spans="13:14">
      <c r="M19" s="1"/>
    </row>
    <row r="20" spans="13:14">
      <c r="M20" s="1"/>
    </row>
    <row r="21" spans="13:14">
      <c r="M21" s="1"/>
    </row>
    <row r="22" spans="13:14">
      <c r="M22" s="1"/>
      <c r="N22" s="133"/>
    </row>
    <row r="23" spans="13:14">
      <c r="M23" s="1"/>
      <c r="N23" s="133"/>
    </row>
    <row r="24" spans="13:14">
      <c r="M24" s="1"/>
      <c r="N24" s="133"/>
    </row>
    <row r="25" spans="13:14">
      <c r="M25" s="1"/>
    </row>
    <row r="26" spans="13:14">
      <c r="M26" s="1"/>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codeName="Sheet213">
    <tabColor rgb="FFFFC000"/>
  </sheetPr>
  <dimension ref="A1:G16"/>
  <sheetViews>
    <sheetView workbookViewId="0">
      <selection activeCell="G28" sqref="G28"/>
    </sheetView>
  </sheetViews>
  <sheetFormatPr defaultRowHeight="13.8"/>
  <cols>
    <col min="1" max="1" width="8.88671875" style="18"/>
    <col min="2" max="2" width="11.6640625" style="1" bestFit="1" customWidth="1"/>
    <col min="3" max="3" width="16.109375" style="1" bestFit="1" customWidth="1"/>
    <col min="4" max="5" width="11.6640625" style="1" bestFit="1" customWidth="1"/>
    <col min="6" max="6" width="16.109375" style="1" bestFit="1" customWidth="1"/>
    <col min="7" max="7" width="11.6640625" style="1" bestFit="1" customWidth="1"/>
    <col min="8" max="16384" width="8.88671875" style="18"/>
  </cols>
  <sheetData>
    <row r="1" spans="1:7" ht="14.4">
      <c r="A1" s="75" t="s">
        <v>28</v>
      </c>
      <c r="B1" s="558" t="s">
        <v>245</v>
      </c>
      <c r="C1" s="558" t="s">
        <v>271</v>
      </c>
      <c r="D1" s="558" t="s">
        <v>318</v>
      </c>
      <c r="E1" s="558" t="s">
        <v>246</v>
      </c>
      <c r="F1" s="558" t="s">
        <v>274</v>
      </c>
      <c r="G1" s="558" t="s">
        <v>320</v>
      </c>
    </row>
    <row r="2" spans="1:7" ht="14.4">
      <c r="A2" s="627">
        <f>INDEX(在建工程明细表!B:B,MATCH(在建工程情况!B2,在建工程明细表!O:O,0))</f>
        <v>0</v>
      </c>
      <c r="B2" s="628">
        <f>ROUND(LARGE(在建工程明细表!O:O,1),2)</f>
        <v>0</v>
      </c>
      <c r="C2" s="628">
        <f>ROUND(_xlfn.IFNA(VLOOKUP(A2,在建工程明细表!B:Z,19,0),0),2)</f>
        <v>0</v>
      </c>
      <c r="D2" s="628">
        <f t="shared" ref="D2:D15" si="0">ROUND(B2-C2,2)</f>
        <v>0</v>
      </c>
      <c r="E2" s="628">
        <f>ROUND(_xlfn.IFNA(VLOOKUP(A2,在建工程明细表!B:E,4,0),0),2)</f>
        <v>0</v>
      </c>
      <c r="F2" s="628">
        <f>ROUND(_xlfn.IFNA(VLOOKUP(A2,在建工程明细表!B:U,16,0),0),2)</f>
        <v>0</v>
      </c>
      <c r="G2" s="628">
        <f t="shared" ref="G2:G15" si="1">ROUND(E2-F2,2)</f>
        <v>0</v>
      </c>
    </row>
    <row r="3" spans="1:7" ht="14.4">
      <c r="A3" s="627">
        <f>INDEX(在建工程明细表!B:B,MATCH(在建工程情况!B3,在建工程明细表!O:O,0))</f>
        <v>0</v>
      </c>
      <c r="B3" s="628">
        <f>ROUND(LARGE(在建工程明细表!O:O,2),2)</f>
        <v>0</v>
      </c>
      <c r="C3" s="628">
        <f>ROUND(_xlfn.IFNA(VLOOKUP(A3,在建工程明细表!B:Z,19,0),0),2)</f>
        <v>0</v>
      </c>
      <c r="D3" s="628">
        <f t="shared" si="0"/>
        <v>0</v>
      </c>
      <c r="E3" s="628">
        <f>ROUND(_xlfn.IFNA(VLOOKUP(A3,在建工程明细表!B:E,4,0),0),2)</f>
        <v>0</v>
      </c>
      <c r="F3" s="628">
        <f>ROUND(_xlfn.IFNA(VLOOKUP(A3,在建工程明细表!B:U,16,0),0),2)</f>
        <v>0</v>
      </c>
      <c r="G3" s="628">
        <f t="shared" si="1"/>
        <v>0</v>
      </c>
    </row>
    <row r="4" spans="1:7" ht="14.4">
      <c r="A4" s="627">
        <f>INDEX(在建工程明细表!B:B,MATCH(在建工程情况!B4,在建工程明细表!O:O,0))</f>
        <v>0</v>
      </c>
      <c r="B4" s="628">
        <f>ROUND(LARGE(在建工程明细表!O:O,3),2)</f>
        <v>0</v>
      </c>
      <c r="C4" s="628">
        <f>ROUND(_xlfn.IFNA(VLOOKUP(A4,在建工程明细表!B:Z,19,0),0),2)</f>
        <v>0</v>
      </c>
      <c r="D4" s="628">
        <f t="shared" si="0"/>
        <v>0</v>
      </c>
      <c r="E4" s="628">
        <f>ROUND(_xlfn.IFNA(VLOOKUP(A4,在建工程明细表!B:E,4,0),0),2)</f>
        <v>0</v>
      </c>
      <c r="F4" s="628">
        <f>ROUND(_xlfn.IFNA(VLOOKUP(A4,在建工程明细表!B:U,16,0),0),2)</f>
        <v>0</v>
      </c>
      <c r="G4" s="628">
        <f t="shared" si="1"/>
        <v>0</v>
      </c>
    </row>
    <row r="5" spans="1:7" ht="14.4">
      <c r="A5" s="627">
        <f>INDEX(在建工程明细表!B:B,MATCH(在建工程情况!B5,在建工程明细表!O:O,0))</f>
        <v>0</v>
      </c>
      <c r="B5" s="628">
        <f>ROUND(LARGE(在建工程明细表!O:O,4),2)</f>
        <v>0</v>
      </c>
      <c r="C5" s="628">
        <f>ROUND(_xlfn.IFNA(VLOOKUP(A5,在建工程明细表!B:Z,19,0),0),2)</f>
        <v>0</v>
      </c>
      <c r="D5" s="628">
        <f t="shared" si="0"/>
        <v>0</v>
      </c>
      <c r="E5" s="628">
        <f>ROUND(_xlfn.IFNA(VLOOKUP(A5,在建工程明细表!B:E,4,0),0),2)</f>
        <v>0</v>
      </c>
      <c r="F5" s="628">
        <f>ROUND(_xlfn.IFNA(VLOOKUP(A5,在建工程明细表!B:U,16,0),0),2)</f>
        <v>0</v>
      </c>
      <c r="G5" s="628">
        <f t="shared" si="1"/>
        <v>0</v>
      </c>
    </row>
    <row r="6" spans="1:7" ht="14.4">
      <c r="A6" s="627">
        <f>INDEX(在建工程明细表!B:B,MATCH(在建工程情况!B6,在建工程明细表!O:O,0))</f>
        <v>0</v>
      </c>
      <c r="B6" s="628">
        <f>ROUND(LARGE(在建工程明细表!O:O,5),2)</f>
        <v>0</v>
      </c>
      <c r="C6" s="628">
        <f>ROUND(_xlfn.IFNA(VLOOKUP(A6,在建工程明细表!B:Z,19,0),0),2)</f>
        <v>0</v>
      </c>
      <c r="D6" s="628">
        <f t="shared" si="0"/>
        <v>0</v>
      </c>
      <c r="E6" s="628">
        <f>ROUND(_xlfn.IFNA(VLOOKUP(A6,在建工程明细表!B:E,4,0),0),2)</f>
        <v>0</v>
      </c>
      <c r="F6" s="628">
        <f>ROUND(_xlfn.IFNA(VLOOKUP(A6,在建工程明细表!B:U,16,0),0),2)</f>
        <v>0</v>
      </c>
      <c r="G6" s="628">
        <f t="shared" si="1"/>
        <v>0</v>
      </c>
    </row>
    <row r="7" spans="1:7" ht="14.4">
      <c r="A7" s="627">
        <f>INDEX(在建工程明细表!B:B,MATCH(在建工程情况!B7,在建工程明细表!O:O,0))</f>
        <v>0</v>
      </c>
      <c r="B7" s="628">
        <f>ROUND(LARGE(在建工程明细表!O:O,6),2)</f>
        <v>0</v>
      </c>
      <c r="C7" s="628">
        <f>ROUND(_xlfn.IFNA(VLOOKUP(A7,在建工程明细表!B:Z,19,0),0),2)</f>
        <v>0</v>
      </c>
      <c r="D7" s="628">
        <f t="shared" si="0"/>
        <v>0</v>
      </c>
      <c r="E7" s="628">
        <f>ROUND(_xlfn.IFNA(VLOOKUP(A7,在建工程明细表!B:E,4,0),0),2)</f>
        <v>0</v>
      </c>
      <c r="F7" s="628">
        <f>ROUND(_xlfn.IFNA(VLOOKUP(A7,在建工程明细表!B:U,16,0),0),2)</f>
        <v>0</v>
      </c>
      <c r="G7" s="628">
        <f t="shared" si="1"/>
        <v>0</v>
      </c>
    </row>
    <row r="8" spans="1:7" ht="14.4">
      <c r="A8" s="627">
        <f>INDEX(在建工程明细表!B:B,MATCH(在建工程情况!B8,在建工程明细表!O:O,0))</f>
        <v>0</v>
      </c>
      <c r="B8" s="628">
        <f>ROUND(LARGE(在建工程明细表!O:O,7),2)</f>
        <v>0</v>
      </c>
      <c r="C8" s="628">
        <f>ROUND(_xlfn.IFNA(VLOOKUP(A8,在建工程明细表!B:Z,19,0),0),2)</f>
        <v>0</v>
      </c>
      <c r="D8" s="628">
        <f t="shared" si="0"/>
        <v>0</v>
      </c>
      <c r="E8" s="628">
        <f>ROUND(_xlfn.IFNA(VLOOKUP(A8,在建工程明细表!B:E,4,0),0),2)</f>
        <v>0</v>
      </c>
      <c r="F8" s="628">
        <f>ROUND(_xlfn.IFNA(VLOOKUP(A8,在建工程明细表!B:U,16,0),0),2)</f>
        <v>0</v>
      </c>
      <c r="G8" s="628">
        <f t="shared" si="1"/>
        <v>0</v>
      </c>
    </row>
    <row r="9" spans="1:7" ht="14.4">
      <c r="A9" s="627">
        <f>INDEX(在建工程明细表!B:B,MATCH(在建工程情况!B9,在建工程明细表!O:O,0))</f>
        <v>0</v>
      </c>
      <c r="B9" s="628">
        <f>ROUND(LARGE(在建工程明细表!O:O,8),2)</f>
        <v>0</v>
      </c>
      <c r="C9" s="628">
        <f>ROUND(_xlfn.IFNA(VLOOKUP(A9,在建工程明细表!B:Z,19,0),0),2)</f>
        <v>0</v>
      </c>
      <c r="D9" s="628">
        <f t="shared" si="0"/>
        <v>0</v>
      </c>
      <c r="E9" s="628">
        <f>ROUND(_xlfn.IFNA(VLOOKUP(A9,在建工程明细表!B:E,4,0),0),2)</f>
        <v>0</v>
      </c>
      <c r="F9" s="628">
        <f>ROUND(_xlfn.IFNA(VLOOKUP(A9,在建工程明细表!B:U,16,0),0),2)</f>
        <v>0</v>
      </c>
      <c r="G9" s="628">
        <f t="shared" si="1"/>
        <v>0</v>
      </c>
    </row>
    <row r="10" spans="1:7" ht="14.4">
      <c r="A10" s="627">
        <f>INDEX(在建工程明细表!B:B,MATCH(在建工程情况!B10,在建工程明细表!O:O,0))</f>
        <v>0</v>
      </c>
      <c r="B10" s="628">
        <f>ROUND(LARGE(在建工程明细表!O:O,9),2)</f>
        <v>0</v>
      </c>
      <c r="C10" s="628">
        <f>ROUND(_xlfn.IFNA(VLOOKUP(A10,在建工程明细表!B:Z,19,0),0),2)</f>
        <v>0</v>
      </c>
      <c r="D10" s="628">
        <f t="shared" si="0"/>
        <v>0</v>
      </c>
      <c r="E10" s="628">
        <f>ROUND(_xlfn.IFNA(VLOOKUP(A10,在建工程明细表!B:E,4,0),0),2)</f>
        <v>0</v>
      </c>
      <c r="F10" s="628">
        <f>ROUND(_xlfn.IFNA(VLOOKUP(A10,在建工程明细表!B:U,16,0),0),2)</f>
        <v>0</v>
      </c>
      <c r="G10" s="628">
        <f t="shared" si="1"/>
        <v>0</v>
      </c>
    </row>
    <row r="11" spans="1:7" ht="14.4">
      <c r="A11" s="627">
        <f>INDEX(在建工程明细表!B:B,MATCH(在建工程情况!B11,在建工程明细表!O:O,0))</f>
        <v>0</v>
      </c>
      <c r="B11" s="628">
        <f>ROUND(LARGE(在建工程明细表!O:O,10),2)</f>
        <v>0</v>
      </c>
      <c r="C11" s="628">
        <f>ROUND(_xlfn.IFNA(VLOOKUP(A11,在建工程明细表!B:Z,19,0),0),2)</f>
        <v>0</v>
      </c>
      <c r="D11" s="628">
        <f t="shared" si="0"/>
        <v>0</v>
      </c>
      <c r="E11" s="628">
        <f>ROUND(_xlfn.IFNA(VLOOKUP(A11,在建工程明细表!B:E,4,0),0),2)</f>
        <v>0</v>
      </c>
      <c r="F11" s="628">
        <f>ROUND(_xlfn.IFNA(VLOOKUP(A11,在建工程明细表!B:U,16,0),0),2)</f>
        <v>0</v>
      </c>
      <c r="G11" s="628">
        <f t="shared" si="1"/>
        <v>0</v>
      </c>
    </row>
    <row r="12" spans="1:7" ht="14.4">
      <c r="A12" s="627">
        <f>INDEX(在建工程明细表!B:B,MATCH(在建工程情况!B12,在建工程明细表!O:O,0))</f>
        <v>0</v>
      </c>
      <c r="B12" s="628">
        <f>ROUND(LARGE(在建工程明细表!O:O,11),2)</f>
        <v>0</v>
      </c>
      <c r="C12" s="628">
        <f>ROUND(_xlfn.IFNA(VLOOKUP(A12,在建工程明细表!B:Z,19,0),0),2)</f>
        <v>0</v>
      </c>
      <c r="D12" s="628">
        <f t="shared" si="0"/>
        <v>0</v>
      </c>
      <c r="E12" s="628">
        <f>ROUND(_xlfn.IFNA(VLOOKUP(A12,在建工程明细表!B:E,4,0),0),2)</f>
        <v>0</v>
      </c>
      <c r="F12" s="628">
        <f>ROUND(_xlfn.IFNA(VLOOKUP(A12,在建工程明细表!B:U,16,0),0),2)</f>
        <v>0</v>
      </c>
      <c r="G12" s="628">
        <f t="shared" si="1"/>
        <v>0</v>
      </c>
    </row>
    <row r="13" spans="1:7" ht="14.4">
      <c r="A13" s="627">
        <f>INDEX(在建工程明细表!B:B,MATCH(在建工程情况!B13,在建工程明细表!O:O,0))</f>
        <v>0</v>
      </c>
      <c r="B13" s="628">
        <f>ROUND(LARGE(在建工程明细表!O:O,12),2)</f>
        <v>0</v>
      </c>
      <c r="C13" s="628">
        <f>ROUND(_xlfn.IFNA(VLOOKUP(A13,在建工程明细表!B:Z,19,0),0),2)</f>
        <v>0</v>
      </c>
      <c r="D13" s="628">
        <f t="shared" si="0"/>
        <v>0</v>
      </c>
      <c r="E13" s="628">
        <f>ROUND(_xlfn.IFNA(VLOOKUP(A13,在建工程明细表!B:E,4,0),0),2)</f>
        <v>0</v>
      </c>
      <c r="F13" s="628">
        <f>ROUND(_xlfn.IFNA(VLOOKUP(A13,在建工程明细表!B:U,16,0),0),2)</f>
        <v>0</v>
      </c>
      <c r="G13" s="628">
        <f t="shared" si="1"/>
        <v>0</v>
      </c>
    </row>
    <row r="14" spans="1:7" ht="14.4">
      <c r="A14" s="627">
        <f>INDEX(在建工程明细表!B:B,MATCH(在建工程情况!B14,在建工程明细表!O:O,0))</f>
        <v>0</v>
      </c>
      <c r="B14" s="628">
        <f>ROUND(LARGE(在建工程明细表!O:O,13),2)</f>
        <v>0</v>
      </c>
      <c r="C14" s="628">
        <f>ROUND(_xlfn.IFNA(VLOOKUP(A14,在建工程明细表!B:Z,19,0),0),2)</f>
        <v>0</v>
      </c>
      <c r="D14" s="628">
        <f t="shared" si="0"/>
        <v>0</v>
      </c>
      <c r="E14" s="628">
        <f>ROUND(_xlfn.IFNA(VLOOKUP(A14,在建工程明细表!B:E,4,0),0),2)</f>
        <v>0</v>
      </c>
      <c r="F14" s="628">
        <f>ROUND(_xlfn.IFNA(VLOOKUP(A14,在建工程明细表!B:U,16,0),0),2)</f>
        <v>0</v>
      </c>
      <c r="G14" s="628">
        <f t="shared" si="1"/>
        <v>0</v>
      </c>
    </row>
    <row r="15" spans="1:7" ht="14.4">
      <c r="A15" s="627">
        <f>INDEX(在建工程明细表!B:B,MATCH(在建工程情况!B15,在建工程明细表!O:O,0))</f>
        <v>0</v>
      </c>
      <c r="B15" s="628">
        <f>ROUND(LARGE(在建工程明细表!O:O,14),2)</f>
        <v>0</v>
      </c>
      <c r="C15" s="628">
        <f>ROUND(_xlfn.IFNA(VLOOKUP(A15,在建工程明细表!B:Z,19,0),0),2)</f>
        <v>0</v>
      </c>
      <c r="D15" s="628">
        <f t="shared" si="0"/>
        <v>0</v>
      </c>
      <c r="E15" s="628">
        <f>ROUND(_xlfn.IFNA(VLOOKUP(A15,在建工程明细表!B:E,4,0),0),2)</f>
        <v>0</v>
      </c>
      <c r="F15" s="628">
        <f>ROUND(_xlfn.IFNA(VLOOKUP(A15,在建工程明细表!B:U,16,0),0),2)</f>
        <v>0</v>
      </c>
      <c r="G15" s="628">
        <f t="shared" si="1"/>
        <v>0</v>
      </c>
    </row>
    <row r="16" spans="1:7" ht="14.4">
      <c r="A16" s="559" t="s">
        <v>262</v>
      </c>
      <c r="B16" s="293">
        <f t="shared" ref="B16:G16" si="2">ROUND(SUM(B2:B15),2)</f>
        <v>0</v>
      </c>
      <c r="C16" s="293">
        <f t="shared" si="2"/>
        <v>0</v>
      </c>
      <c r="D16" s="293">
        <f t="shared" si="2"/>
        <v>0</v>
      </c>
      <c r="E16" s="293">
        <f t="shared" si="2"/>
        <v>0</v>
      </c>
      <c r="F16" s="293">
        <f t="shared" si="2"/>
        <v>0</v>
      </c>
      <c r="G16" s="293">
        <f t="shared" si="2"/>
        <v>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sheetPr codeName="Sheet2"/>
  <dimension ref="A1:C78"/>
  <sheetViews>
    <sheetView workbookViewId="0">
      <selection activeCell="F21" sqref="F21"/>
    </sheetView>
  </sheetViews>
  <sheetFormatPr defaultRowHeight="13.8"/>
  <cols>
    <col min="1" max="1" width="6" style="18" bestFit="1" customWidth="1"/>
    <col min="2" max="2" width="22.6640625" style="18" bestFit="1" customWidth="1"/>
    <col min="3" max="3" width="8.88671875" style="139"/>
    <col min="4" max="16384" width="8.88671875" style="18"/>
  </cols>
  <sheetData>
    <row r="1" spans="1:2">
      <c r="A1" s="18" t="s">
        <v>737</v>
      </c>
      <c r="B1" s="18" t="s">
        <v>738</v>
      </c>
    </row>
    <row r="2" spans="1:2">
      <c r="A2" s="140">
        <v>1001</v>
      </c>
      <c r="B2" s="18" t="s">
        <v>191</v>
      </c>
    </row>
    <row r="3" spans="1:2">
      <c r="A3" s="140">
        <v>1002</v>
      </c>
      <c r="B3" s="18" t="s">
        <v>192</v>
      </c>
    </row>
    <row r="4" spans="1:2">
      <c r="A4" s="140">
        <v>1012</v>
      </c>
      <c r="B4" s="18" t="s">
        <v>193</v>
      </c>
    </row>
    <row r="5" spans="1:2">
      <c r="A5" s="140">
        <v>1121</v>
      </c>
      <c r="B5" s="18" t="s">
        <v>6</v>
      </c>
    </row>
    <row r="6" spans="1:2">
      <c r="A6" s="140">
        <v>1122</v>
      </c>
      <c r="B6" s="18" t="s">
        <v>9</v>
      </c>
    </row>
    <row r="7" spans="1:2">
      <c r="A7" s="140">
        <v>1123</v>
      </c>
      <c r="B7" s="18" t="s">
        <v>739</v>
      </c>
    </row>
    <row r="8" spans="1:2">
      <c r="A8" s="140">
        <v>1124</v>
      </c>
      <c r="B8" s="18" t="s">
        <v>740</v>
      </c>
    </row>
    <row r="9" spans="1:2">
      <c r="A9" s="140">
        <v>1132</v>
      </c>
      <c r="B9" s="18" t="s">
        <v>281</v>
      </c>
    </row>
    <row r="10" spans="1:2">
      <c r="A10" s="140">
        <v>1221</v>
      </c>
      <c r="B10" s="18" t="s">
        <v>10</v>
      </c>
    </row>
    <row r="11" spans="1:2">
      <c r="A11" s="140">
        <v>1231</v>
      </c>
      <c r="B11" s="18" t="s">
        <v>213</v>
      </c>
    </row>
    <row r="12" spans="1:2">
      <c r="A12" s="140">
        <v>1303</v>
      </c>
      <c r="B12" s="18" t="s">
        <v>285</v>
      </c>
    </row>
    <row r="13" spans="1:2">
      <c r="A13" s="140">
        <v>1403</v>
      </c>
      <c r="B13" s="18" t="s">
        <v>314</v>
      </c>
    </row>
    <row r="14" spans="1:2">
      <c r="A14" s="140">
        <v>1405</v>
      </c>
      <c r="B14" s="18" t="s">
        <v>325</v>
      </c>
    </row>
    <row r="15" spans="1:2">
      <c r="A15" s="140">
        <v>1406</v>
      </c>
      <c r="B15" s="18" t="s">
        <v>328</v>
      </c>
    </row>
    <row r="16" spans="1:2">
      <c r="A16" s="140">
        <v>1409</v>
      </c>
      <c r="B16" s="18" t="s">
        <v>326</v>
      </c>
    </row>
    <row r="17" spans="1:2">
      <c r="A17" s="140">
        <v>1461</v>
      </c>
      <c r="B17" s="18" t="s">
        <v>741</v>
      </c>
    </row>
    <row r="18" spans="1:2">
      <c r="A18" s="140">
        <v>1491</v>
      </c>
      <c r="B18" s="18" t="s">
        <v>742</v>
      </c>
    </row>
    <row r="19" spans="1:2">
      <c r="A19" s="140">
        <v>1501</v>
      </c>
      <c r="B19" s="18" t="s">
        <v>11</v>
      </c>
    </row>
    <row r="20" spans="1:2">
      <c r="A20" s="140">
        <v>1503</v>
      </c>
      <c r="B20" s="18" t="s">
        <v>14</v>
      </c>
    </row>
    <row r="21" spans="1:2">
      <c r="A21" s="140">
        <v>1511</v>
      </c>
      <c r="B21" s="18" t="s">
        <v>743</v>
      </c>
    </row>
    <row r="22" spans="1:2">
      <c r="A22" s="140">
        <v>1512</v>
      </c>
      <c r="B22" s="18" t="s">
        <v>744</v>
      </c>
    </row>
    <row r="23" spans="1:2">
      <c r="A23" s="140">
        <v>1521</v>
      </c>
      <c r="B23" s="18" t="s">
        <v>745</v>
      </c>
    </row>
    <row r="24" spans="1:2">
      <c r="A24" s="140">
        <v>1531</v>
      </c>
      <c r="B24" s="18" t="s">
        <v>20</v>
      </c>
    </row>
    <row r="25" spans="1:2">
      <c r="A25" s="140">
        <v>1532</v>
      </c>
      <c r="B25" s="18" t="s">
        <v>746</v>
      </c>
    </row>
    <row r="26" spans="1:2">
      <c r="A26" s="140">
        <v>1601</v>
      </c>
      <c r="B26" s="18" t="s">
        <v>89</v>
      </c>
    </row>
    <row r="27" spans="1:2">
      <c r="A27" s="140">
        <v>1602</v>
      </c>
      <c r="B27" s="18" t="s">
        <v>437</v>
      </c>
    </row>
    <row r="28" spans="1:2">
      <c r="A28" s="140">
        <v>1603</v>
      </c>
      <c r="B28" s="18" t="s">
        <v>747</v>
      </c>
    </row>
    <row r="29" spans="1:2">
      <c r="A29" s="140">
        <v>1604</v>
      </c>
      <c r="B29" s="18" t="s">
        <v>423</v>
      </c>
    </row>
    <row r="30" spans="1:2">
      <c r="A30" s="140">
        <v>1606</v>
      </c>
      <c r="B30" s="18" t="s">
        <v>433</v>
      </c>
    </row>
    <row r="31" spans="1:2">
      <c r="A31" s="140">
        <v>1607</v>
      </c>
      <c r="B31" s="18" t="s">
        <v>748</v>
      </c>
    </row>
    <row r="32" spans="1:2">
      <c r="A32" s="140">
        <v>1701</v>
      </c>
      <c r="B32" s="18" t="s">
        <v>90</v>
      </c>
    </row>
    <row r="33" spans="1:2">
      <c r="A33" s="140">
        <v>1702</v>
      </c>
      <c r="B33" s="18" t="s">
        <v>749</v>
      </c>
    </row>
    <row r="34" spans="1:2">
      <c r="A34" s="140">
        <v>1801</v>
      </c>
      <c r="B34" s="18" t="s">
        <v>750</v>
      </c>
    </row>
    <row r="35" spans="1:2">
      <c r="A35" s="140">
        <v>1811</v>
      </c>
      <c r="B35" s="18" t="s">
        <v>751</v>
      </c>
    </row>
    <row r="36" spans="1:2">
      <c r="A36" s="140">
        <v>2001</v>
      </c>
      <c r="B36" s="18" t="s">
        <v>735</v>
      </c>
    </row>
    <row r="37" spans="1:2">
      <c r="A37" s="140">
        <v>2201</v>
      </c>
      <c r="B37" s="18" t="s">
        <v>752</v>
      </c>
    </row>
    <row r="38" spans="1:2">
      <c r="A38" s="140">
        <v>2202</v>
      </c>
      <c r="B38" s="18" t="s">
        <v>93</v>
      </c>
    </row>
    <row r="39" spans="1:2">
      <c r="A39" s="140">
        <v>2203</v>
      </c>
      <c r="B39" s="18" t="s">
        <v>81</v>
      </c>
    </row>
    <row r="40" spans="1:2">
      <c r="A40" s="140">
        <v>2211</v>
      </c>
      <c r="B40" s="18" t="s">
        <v>753</v>
      </c>
    </row>
    <row r="41" spans="1:2">
      <c r="A41" s="140">
        <v>2221</v>
      </c>
      <c r="B41" s="18" t="s">
        <v>754</v>
      </c>
    </row>
    <row r="42" spans="1:2">
      <c r="A42" s="140">
        <v>2231</v>
      </c>
      <c r="B42" s="18" t="s">
        <v>526</v>
      </c>
    </row>
    <row r="43" spans="1:2">
      <c r="A43" s="140">
        <v>2232</v>
      </c>
      <c r="B43" s="18" t="s">
        <v>527</v>
      </c>
    </row>
    <row r="44" spans="1:2">
      <c r="A44" s="140">
        <v>2241</v>
      </c>
      <c r="B44" s="18" t="s">
        <v>528</v>
      </c>
    </row>
    <row r="45" spans="1:2">
      <c r="A45" s="140">
        <v>2401</v>
      </c>
      <c r="B45" s="18" t="s">
        <v>755</v>
      </c>
    </row>
    <row r="46" spans="1:2">
      <c r="A46" s="140">
        <v>2501</v>
      </c>
      <c r="B46" s="18" t="s">
        <v>736</v>
      </c>
    </row>
    <row r="47" spans="1:2">
      <c r="A47" s="140">
        <v>2502</v>
      </c>
      <c r="B47" s="18" t="s">
        <v>756</v>
      </c>
    </row>
    <row r="48" spans="1:2">
      <c r="A48" s="140">
        <v>2701</v>
      </c>
      <c r="B48" s="18" t="s">
        <v>94</v>
      </c>
    </row>
    <row r="49" spans="1:2">
      <c r="A49" s="140">
        <v>2711</v>
      </c>
      <c r="B49" s="18" t="s">
        <v>570</v>
      </c>
    </row>
    <row r="50" spans="1:2">
      <c r="A50" s="140">
        <v>2901</v>
      </c>
      <c r="B50" s="18" t="s">
        <v>757</v>
      </c>
    </row>
    <row r="51" spans="1:2">
      <c r="A51" s="140">
        <v>4001</v>
      </c>
      <c r="B51" s="18" t="s">
        <v>758</v>
      </c>
    </row>
    <row r="52" spans="1:2">
      <c r="A52" s="140">
        <v>4002</v>
      </c>
      <c r="B52" s="18" t="s">
        <v>759</v>
      </c>
    </row>
    <row r="53" spans="1:2">
      <c r="A53" s="140">
        <v>4003</v>
      </c>
      <c r="B53" s="18" t="s">
        <v>760</v>
      </c>
    </row>
    <row r="54" spans="1:2">
      <c r="A54" s="140">
        <v>4101</v>
      </c>
      <c r="B54" s="18" t="s">
        <v>70</v>
      </c>
    </row>
    <row r="55" spans="1:2">
      <c r="A55" s="140">
        <v>4103</v>
      </c>
      <c r="B55" s="18" t="s">
        <v>761</v>
      </c>
    </row>
    <row r="56" spans="1:2">
      <c r="A56" s="140">
        <v>4104</v>
      </c>
      <c r="B56" s="18" t="s">
        <v>762</v>
      </c>
    </row>
    <row r="57" spans="1:2">
      <c r="A57" s="140">
        <v>5001</v>
      </c>
      <c r="B57" s="18" t="s">
        <v>763</v>
      </c>
    </row>
    <row r="58" spans="1:2">
      <c r="A58" s="140">
        <v>5002</v>
      </c>
      <c r="B58" s="18" t="s">
        <v>323</v>
      </c>
    </row>
    <row r="59" spans="1:2">
      <c r="A59" s="140">
        <v>5102</v>
      </c>
      <c r="B59" s="18" t="s">
        <v>764</v>
      </c>
    </row>
    <row r="60" spans="1:2">
      <c r="A60" s="140">
        <v>5201</v>
      </c>
      <c r="B60" s="18" t="s">
        <v>765</v>
      </c>
    </row>
    <row r="61" spans="1:2">
      <c r="A61" s="140">
        <v>5401</v>
      </c>
      <c r="B61" s="18" t="s">
        <v>766</v>
      </c>
    </row>
    <row r="62" spans="1:2">
      <c r="A62" s="140">
        <v>5402</v>
      </c>
      <c r="B62" s="18" t="s">
        <v>767</v>
      </c>
    </row>
    <row r="63" spans="1:2">
      <c r="A63" s="140">
        <v>6001</v>
      </c>
      <c r="B63" s="18" t="s">
        <v>768</v>
      </c>
    </row>
    <row r="64" spans="1:2">
      <c r="A64" s="140">
        <v>6002</v>
      </c>
      <c r="B64" s="18" t="s">
        <v>769</v>
      </c>
    </row>
    <row r="65" spans="1:2">
      <c r="A65" s="140">
        <v>6102</v>
      </c>
      <c r="B65" s="18" t="s">
        <v>770</v>
      </c>
    </row>
    <row r="66" spans="1:2">
      <c r="A66" s="140">
        <v>6111</v>
      </c>
      <c r="B66" s="18" t="s">
        <v>771</v>
      </c>
    </row>
    <row r="67" spans="1:2">
      <c r="A67" s="140">
        <v>6301</v>
      </c>
      <c r="B67" s="18" t="s">
        <v>772</v>
      </c>
    </row>
    <row r="68" spans="1:2">
      <c r="A68" s="140">
        <v>6401</v>
      </c>
      <c r="B68" s="18" t="s">
        <v>773</v>
      </c>
    </row>
    <row r="69" spans="1:2">
      <c r="A69" s="140">
        <v>6402</v>
      </c>
      <c r="B69" s="18" t="s">
        <v>774</v>
      </c>
    </row>
    <row r="70" spans="1:2">
      <c r="A70" s="140">
        <v>6403</v>
      </c>
      <c r="B70" s="18" t="s">
        <v>775</v>
      </c>
    </row>
    <row r="71" spans="1:2">
      <c r="A71" s="140">
        <v>6601</v>
      </c>
      <c r="B71" s="18" t="s">
        <v>776</v>
      </c>
    </row>
    <row r="72" spans="1:2">
      <c r="A72" s="140">
        <v>6602</v>
      </c>
      <c r="B72" s="18" t="s">
        <v>777</v>
      </c>
    </row>
    <row r="73" spans="1:2">
      <c r="A73" s="140">
        <v>6603</v>
      </c>
      <c r="B73" s="18" t="s">
        <v>778</v>
      </c>
    </row>
    <row r="74" spans="1:2">
      <c r="A74" s="140">
        <v>6701</v>
      </c>
      <c r="B74" s="18" t="s">
        <v>779</v>
      </c>
    </row>
    <row r="75" spans="1:2">
      <c r="A75" s="140">
        <v>6702</v>
      </c>
      <c r="B75" s="18" t="s">
        <v>780</v>
      </c>
    </row>
    <row r="76" spans="1:2">
      <c r="A76" s="140">
        <v>6711</v>
      </c>
      <c r="B76" s="18" t="s">
        <v>781</v>
      </c>
    </row>
    <row r="77" spans="1:2">
      <c r="A77" s="140">
        <v>6801</v>
      </c>
      <c r="B77" s="18" t="s">
        <v>698</v>
      </c>
    </row>
    <row r="78" spans="1:2">
      <c r="A78" s="140">
        <v>6901</v>
      </c>
      <c r="B78" s="18" t="s">
        <v>782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codeName="Sheet19">
    <tabColor rgb="FF00B0F0"/>
  </sheetPr>
  <dimension ref="A1:D22"/>
  <sheetViews>
    <sheetView workbookViewId="0">
      <pane xSplit="2" ySplit="1" topLeftCell="C2" activePane="bottomRight" state="frozen"/>
      <selection activeCell="L14" sqref="L14"/>
      <selection pane="topRight" activeCell="L14" sqref="L14"/>
      <selection pane="bottomLeft" activeCell="L14" sqref="L14"/>
      <selection pane="bottomRight" activeCell="D25" sqref="D25"/>
    </sheetView>
  </sheetViews>
  <sheetFormatPr defaultRowHeight="13.8"/>
  <cols>
    <col min="1" max="1" width="71.5546875" bestFit="1" customWidth="1"/>
    <col min="2" max="2" width="6.109375" bestFit="1" customWidth="1"/>
    <col min="3" max="4" width="17.109375" bestFit="1" customWidth="1"/>
  </cols>
  <sheetData>
    <row r="1" spans="1:4" ht="14.4">
      <c r="A1" s="251" t="s">
        <v>1930</v>
      </c>
      <c r="B1" t="s">
        <v>1931</v>
      </c>
      <c r="C1" s="229" t="s">
        <v>412</v>
      </c>
      <c r="D1" s="252" t="s">
        <v>413</v>
      </c>
    </row>
    <row r="2" spans="1:4">
      <c r="A2" t="s">
        <v>1932</v>
      </c>
      <c r="B2">
        <v>1</v>
      </c>
      <c r="C2" s="229">
        <f>本期所有者权益变动表!M6</f>
        <v>0</v>
      </c>
      <c r="D2" s="252">
        <f>上期所有者权益变动表!M6</f>
        <v>0</v>
      </c>
    </row>
    <row r="3" spans="1:4">
      <c r="A3" t="s">
        <v>1933</v>
      </c>
      <c r="B3">
        <v>2</v>
      </c>
      <c r="C3" s="229">
        <f>本期所有者权益变动表!M34</f>
        <v>0</v>
      </c>
      <c r="D3" s="252">
        <f>上期所有者权益变动表!M34</f>
        <v>0</v>
      </c>
    </row>
    <row r="4" spans="1:4">
      <c r="A4" t="s">
        <v>1934</v>
      </c>
      <c r="B4">
        <v>3</v>
      </c>
      <c r="C4" s="229">
        <f>SUM(C5:C14)</f>
        <v>0</v>
      </c>
      <c r="D4" s="229">
        <f>SUM(D5:D14)</f>
        <v>0</v>
      </c>
    </row>
    <row r="5" spans="1:4">
      <c r="A5" t="s">
        <v>1935</v>
      </c>
      <c r="B5">
        <v>4</v>
      </c>
      <c r="C5" s="229">
        <f>本期所有者权益变动表!B10</f>
        <v>0</v>
      </c>
      <c r="D5" s="252">
        <f>上期所有者权益变动表!B10</f>
        <v>0</v>
      </c>
    </row>
    <row r="6" spans="1:4">
      <c r="A6" t="s">
        <v>1936</v>
      </c>
      <c r="B6">
        <v>5</v>
      </c>
      <c r="C6" s="288" t="s">
        <v>1937</v>
      </c>
      <c r="D6" s="387" t="s">
        <v>1937</v>
      </c>
    </row>
    <row r="7" spans="1:4">
      <c r="A7" t="s">
        <v>1938</v>
      </c>
      <c r="B7">
        <v>6</v>
      </c>
      <c r="C7" s="288" t="s">
        <v>1937</v>
      </c>
      <c r="D7" s="387" t="s">
        <v>1937</v>
      </c>
    </row>
    <row r="8" spans="1:4">
      <c r="A8" t="s">
        <v>1939</v>
      </c>
      <c r="B8">
        <v>7</v>
      </c>
      <c r="C8" s="288" t="s">
        <v>1937</v>
      </c>
      <c r="D8" s="387" t="s">
        <v>1937</v>
      </c>
    </row>
    <row r="9" spans="1:4">
      <c r="A9" t="s">
        <v>1940</v>
      </c>
      <c r="B9">
        <v>8</v>
      </c>
      <c r="C9" s="288" t="s">
        <v>1937</v>
      </c>
      <c r="D9" s="387" t="s">
        <v>1937</v>
      </c>
    </row>
    <row r="10" spans="1:4">
      <c r="A10" t="s">
        <v>1941</v>
      </c>
      <c r="B10">
        <v>9</v>
      </c>
      <c r="C10" s="288" t="s">
        <v>1937</v>
      </c>
      <c r="D10" s="387" t="s">
        <v>1937</v>
      </c>
    </row>
    <row r="11" spans="1:4">
      <c r="A11" t="s">
        <v>1942</v>
      </c>
      <c r="B11">
        <v>10</v>
      </c>
      <c r="C11" s="288" t="s">
        <v>1937</v>
      </c>
      <c r="D11" s="387" t="s">
        <v>1937</v>
      </c>
    </row>
    <row r="12" spans="1:4">
      <c r="A12" t="s">
        <v>1943</v>
      </c>
      <c r="B12">
        <v>11</v>
      </c>
      <c r="C12" s="288" t="s">
        <v>1937</v>
      </c>
      <c r="D12" s="387" t="s">
        <v>1937</v>
      </c>
    </row>
    <row r="13" spans="1:4">
      <c r="A13" t="s">
        <v>1944</v>
      </c>
      <c r="B13">
        <v>12</v>
      </c>
      <c r="C13" s="288" t="s">
        <v>1937</v>
      </c>
      <c r="D13" s="387" t="s">
        <v>1937</v>
      </c>
    </row>
    <row r="14" spans="1:4">
      <c r="A14" t="s">
        <v>1945</v>
      </c>
      <c r="B14">
        <v>13</v>
      </c>
      <c r="C14" s="288" t="s">
        <v>1937</v>
      </c>
      <c r="D14" s="387" t="s">
        <v>1937</v>
      </c>
    </row>
    <row r="15" spans="1:4">
      <c r="A15" t="s">
        <v>1946</v>
      </c>
      <c r="B15">
        <v>14</v>
      </c>
      <c r="C15" s="229">
        <f>SUM(C16:C20)</f>
        <v>0</v>
      </c>
      <c r="D15" s="252">
        <f>D19</f>
        <v>0</v>
      </c>
    </row>
    <row r="16" spans="1:4">
      <c r="A16" t="s">
        <v>1947</v>
      </c>
      <c r="B16">
        <v>15</v>
      </c>
      <c r="C16" s="288" t="s">
        <v>1937</v>
      </c>
      <c r="D16" s="387" t="s">
        <v>1937</v>
      </c>
    </row>
    <row r="17" spans="1:4">
      <c r="A17" t="s">
        <v>1948</v>
      </c>
      <c r="B17">
        <v>16</v>
      </c>
      <c r="C17" s="288" t="s">
        <v>1937</v>
      </c>
      <c r="D17" s="387" t="s">
        <v>1937</v>
      </c>
    </row>
    <row r="18" spans="1:4">
      <c r="A18" t="s">
        <v>1949</v>
      </c>
      <c r="B18">
        <v>17</v>
      </c>
      <c r="C18" s="288" t="s">
        <v>1937</v>
      </c>
      <c r="D18" s="387" t="s">
        <v>1937</v>
      </c>
    </row>
    <row r="19" spans="1:4">
      <c r="A19" t="s">
        <v>1950</v>
      </c>
      <c r="B19">
        <v>18</v>
      </c>
      <c r="C19" s="229">
        <f>本期所有者权益变动表!L25</f>
        <v>0</v>
      </c>
      <c r="D19" s="252">
        <f>上期所有者权益变动表!L25</f>
        <v>0</v>
      </c>
    </row>
    <row r="20" spans="1:4">
      <c r="A20" s="158" t="s">
        <v>1951</v>
      </c>
      <c r="B20">
        <v>19</v>
      </c>
      <c r="C20" s="288" t="s">
        <v>1937</v>
      </c>
      <c r="D20" s="387" t="s">
        <v>1937</v>
      </c>
    </row>
    <row r="21" spans="1:4">
      <c r="A21" t="s">
        <v>1952</v>
      </c>
      <c r="B21">
        <v>20</v>
      </c>
      <c r="C21" s="229">
        <f>C3-C4+C15</f>
        <v>0</v>
      </c>
      <c r="D21" s="229">
        <f>D3-D4+D15</f>
        <v>0</v>
      </c>
    </row>
    <row r="22" spans="1:4">
      <c r="A22" t="s">
        <v>1953</v>
      </c>
      <c r="B22">
        <v>21</v>
      </c>
      <c r="C22" s="229" t="e">
        <f>C21/C2</f>
        <v>#DIV/0!</v>
      </c>
      <c r="D22" s="229" t="e">
        <f>D21/D2</f>
        <v>#DIV/0!</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codeName="Sheet214">
    <tabColor rgb="FFFFC000"/>
  </sheetPr>
  <dimension ref="A1:N11"/>
  <sheetViews>
    <sheetView workbookViewId="0">
      <selection activeCell="J19" sqref="J19"/>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445</v>
      </c>
      <c r="B1" s="24" t="s">
        <v>446</v>
      </c>
      <c r="C1" s="24" t="s">
        <v>265</v>
      </c>
      <c r="D1" s="24" t="s">
        <v>359</v>
      </c>
      <c r="E1" s="24" t="s">
        <v>447</v>
      </c>
      <c r="F1" s="24" t="s">
        <v>448</v>
      </c>
      <c r="G1" s="24" t="s">
        <v>203</v>
      </c>
      <c r="H1" s="26" t="s">
        <v>449</v>
      </c>
      <c r="I1" s="26" t="s">
        <v>450</v>
      </c>
      <c r="J1" s="24" t="s">
        <v>453</v>
      </c>
      <c r="K1" s="24" t="s">
        <v>454</v>
      </c>
      <c r="L1" s="26" t="s">
        <v>451</v>
      </c>
      <c r="M1" s="26" t="s">
        <v>452</v>
      </c>
    </row>
    <row r="2" spans="1:14">
      <c r="A2" s="229">
        <f>INDEX(在建工程明细表!B:B,MATCH(G2,在建工程明细表!O:O,0))</f>
        <v>0</v>
      </c>
      <c r="B2" s="229">
        <f>_xlfn.IFNA(VLOOKUP(A2,在建工程明细表!B:E,2,0),0)</f>
        <v>0</v>
      </c>
      <c r="C2" s="229">
        <f>_xlfn.IFNA(VLOOKUP(A2,在建工程明细表!B:E,4,0),0)</f>
        <v>0</v>
      </c>
      <c r="D2" s="229">
        <f>_xlfn.IFNA(VLOOKUP(A2,在建工程明细表!B:H,7,0),0)</f>
        <v>0</v>
      </c>
      <c r="E2" s="229">
        <f>_xlfn.IFNA(VLOOKUP(A2,在建工程明细表!B:I,8,0),0)</f>
        <v>0</v>
      </c>
      <c r="F2" s="229">
        <f>_xlfn.IFNA(VLOOKUP(A2,在建工程明细表!B:N,13,0)-E2,0)</f>
        <v>0</v>
      </c>
      <c r="G2" s="229">
        <f>LARGE(在建工程明细表!O:O,1)</f>
        <v>0</v>
      </c>
      <c r="H2" s="625">
        <f>_xlfn.IFNA(VLOOKUP(A2,在建工程明细表!B:P,15,0),0)</f>
        <v>0</v>
      </c>
      <c r="I2" s="625">
        <f>H2</f>
        <v>0</v>
      </c>
      <c r="J2" s="626">
        <f>_xlfn.IFNA(VLOOKUP(A2,在建工程明细表!B:Y,24,0),0)</f>
        <v>0</v>
      </c>
      <c r="K2" s="626">
        <f>_xlfn.IFNA(VLOOKUP(A2,在建工程明细表!B:Y,22,0),0)</f>
        <v>0</v>
      </c>
      <c r="L2" s="625">
        <f>在建工程明细表!Z2</f>
        <v>0</v>
      </c>
      <c r="M2" s="625" t="str">
        <f>_xlfn.IFNA(VLOOKUP(A2,在建工程明细表!B:D,3,0),"")</f>
        <v/>
      </c>
      <c r="N2" s="1"/>
    </row>
    <row r="3" spans="1:14">
      <c r="A3" s="229">
        <f>INDEX(在建工程明细表!B:B,MATCH(G3,在建工程明细表!O:O,0))</f>
        <v>0</v>
      </c>
      <c r="B3" s="229">
        <f>_xlfn.IFNA(VLOOKUP(A3,在建工程明细表!B:E,2,0),0)</f>
        <v>0</v>
      </c>
      <c r="C3" s="229">
        <f>_xlfn.IFNA(VLOOKUP(A3,在建工程明细表!B:E,4,0),0)</f>
        <v>0</v>
      </c>
      <c r="D3" s="229">
        <f>_xlfn.IFNA(VLOOKUP(A3,在建工程明细表!B:H,7,0),0)</f>
        <v>0</v>
      </c>
      <c r="E3" s="229">
        <f>_xlfn.IFNA(VLOOKUP(A3,在建工程明细表!B:I,8,0),0)</f>
        <v>0</v>
      </c>
      <c r="F3" s="229">
        <f>_xlfn.IFNA(VLOOKUP(A3,在建工程明细表!B:N,13,0)-E3,0)</f>
        <v>0</v>
      </c>
      <c r="G3" s="229">
        <f>LARGE(在建工程明细表!O:O,2)</f>
        <v>0</v>
      </c>
      <c r="H3" s="625">
        <f>_xlfn.IFNA(VLOOKUP(A3,在建工程明细表!B:P,15,0),0)</f>
        <v>0</v>
      </c>
      <c r="I3" s="625">
        <f>H3</f>
        <v>0</v>
      </c>
      <c r="J3" s="626">
        <f>_xlfn.IFNA(VLOOKUP(A3,在建工程明细表!B:Y,24,0),0)</f>
        <v>0</v>
      </c>
      <c r="K3" s="626">
        <f>_xlfn.IFNA(VLOOKUP(A3,在建工程明细表!B:Y,22,0),0)</f>
        <v>0</v>
      </c>
      <c r="L3" s="625">
        <f>在建工程明细表!Z3</f>
        <v>0</v>
      </c>
      <c r="M3" s="625" t="str">
        <f>_xlfn.IFNA(VLOOKUP(A3,在建工程明细表!B:D,3,0),"")</f>
        <v/>
      </c>
      <c r="N3" s="1"/>
    </row>
    <row r="4" spans="1:14">
      <c r="A4" s="229">
        <f>INDEX(在建工程明细表!B:B,MATCH(G4,在建工程明细表!O:O,0))</f>
        <v>0</v>
      </c>
      <c r="B4" s="229">
        <f>_xlfn.IFNA(VLOOKUP(A4,在建工程明细表!B:E,2,0),0)</f>
        <v>0</v>
      </c>
      <c r="C4" s="229">
        <f>_xlfn.IFNA(VLOOKUP(A4,在建工程明细表!B:E,4,0),0)</f>
        <v>0</v>
      </c>
      <c r="D4" s="229">
        <f>_xlfn.IFNA(VLOOKUP(A4,在建工程明细表!B:H,7,0),0)</f>
        <v>0</v>
      </c>
      <c r="E4" s="229">
        <f>_xlfn.IFNA(VLOOKUP(A4,在建工程明细表!B:I,8,0),0)</f>
        <v>0</v>
      </c>
      <c r="F4" s="229">
        <f>_xlfn.IFNA(VLOOKUP(A4,在建工程明细表!B:N,13,0)-E4,0)</f>
        <v>0</v>
      </c>
      <c r="G4" s="229">
        <f>LARGE(在建工程明细表!O:O,3)</f>
        <v>0</v>
      </c>
      <c r="H4" s="625">
        <f>_xlfn.IFNA(VLOOKUP(A4,在建工程明细表!B:P,15,0),0)</f>
        <v>0</v>
      </c>
      <c r="I4" s="625">
        <f t="shared" ref="I4:I9" si="0">H4</f>
        <v>0</v>
      </c>
      <c r="J4" s="626">
        <f>_xlfn.IFNA(VLOOKUP(A4,在建工程明细表!B:Y,24,0),0)</f>
        <v>0</v>
      </c>
      <c r="K4" s="626">
        <f>_xlfn.IFNA(VLOOKUP(A4,在建工程明细表!B:Y,22,0),0)</f>
        <v>0</v>
      </c>
      <c r="L4" s="625">
        <f>在建工程明细表!Z4</f>
        <v>0</v>
      </c>
      <c r="M4" s="625" t="str">
        <f>_xlfn.IFNA(VLOOKUP(A4,在建工程明细表!B:D,3,0),"")</f>
        <v/>
      </c>
      <c r="N4" s="1"/>
    </row>
    <row r="5" spans="1:14">
      <c r="A5" s="229">
        <f>INDEX(在建工程明细表!B:B,MATCH(G5,在建工程明细表!O:O,0))</f>
        <v>0</v>
      </c>
      <c r="B5" s="229">
        <f>_xlfn.IFNA(VLOOKUP(A5,在建工程明细表!B:E,2,0),0)</f>
        <v>0</v>
      </c>
      <c r="C5" s="229">
        <f>_xlfn.IFNA(VLOOKUP(A5,在建工程明细表!B:E,4,0),0)</f>
        <v>0</v>
      </c>
      <c r="D5" s="229">
        <f>_xlfn.IFNA(VLOOKUP(A5,在建工程明细表!B:H,7,0),0)</f>
        <v>0</v>
      </c>
      <c r="E5" s="229">
        <f>_xlfn.IFNA(VLOOKUP(A5,在建工程明细表!B:I,8,0),0)</f>
        <v>0</v>
      </c>
      <c r="F5" s="229">
        <f>_xlfn.IFNA(VLOOKUP(A5,在建工程明细表!B:N,13,0)-E5,0)</f>
        <v>0</v>
      </c>
      <c r="G5" s="229">
        <f>LARGE(在建工程明细表!O:O,4)</f>
        <v>0</v>
      </c>
      <c r="H5" s="625">
        <f>_xlfn.IFNA(VLOOKUP(A5,在建工程明细表!B:P,15,0),0)</f>
        <v>0</v>
      </c>
      <c r="I5" s="625">
        <f t="shared" si="0"/>
        <v>0</v>
      </c>
      <c r="J5" s="626">
        <f>_xlfn.IFNA(VLOOKUP(A5,在建工程明细表!B:Y,24,0),0)</f>
        <v>0</v>
      </c>
      <c r="K5" s="626">
        <f>_xlfn.IFNA(VLOOKUP(A5,在建工程明细表!B:Y,22,0),0)</f>
        <v>0</v>
      </c>
      <c r="L5" s="625">
        <f>在建工程明细表!Z5</f>
        <v>0</v>
      </c>
      <c r="M5" s="625" t="str">
        <f>_xlfn.IFNA(VLOOKUP(A5,在建工程明细表!B:D,3,0),"")</f>
        <v/>
      </c>
      <c r="N5" s="1"/>
    </row>
    <row r="6" spans="1:14">
      <c r="A6" s="229">
        <f>INDEX(在建工程明细表!B:B,MATCH(G6,在建工程明细表!O:O,0))</f>
        <v>0</v>
      </c>
      <c r="B6" s="229">
        <f>_xlfn.IFNA(VLOOKUP(A6,在建工程明细表!B:E,2,0),0)</f>
        <v>0</v>
      </c>
      <c r="C6" s="229">
        <f>_xlfn.IFNA(VLOOKUP(A6,在建工程明细表!B:E,4,0),0)</f>
        <v>0</v>
      </c>
      <c r="D6" s="229">
        <f>_xlfn.IFNA(VLOOKUP(A6,在建工程明细表!B:H,7,0),0)</f>
        <v>0</v>
      </c>
      <c r="E6" s="229">
        <f>_xlfn.IFNA(VLOOKUP(A6,在建工程明细表!B:I,8,0),0)</f>
        <v>0</v>
      </c>
      <c r="F6" s="229">
        <f>_xlfn.IFNA(VLOOKUP(A6,在建工程明细表!B:N,13,0)-E6,0)</f>
        <v>0</v>
      </c>
      <c r="G6" s="229">
        <f>LARGE(在建工程明细表!O:O,5)</f>
        <v>0</v>
      </c>
      <c r="H6" s="625">
        <f>_xlfn.IFNA(VLOOKUP(A6,在建工程明细表!B:P,15,0),0)</f>
        <v>0</v>
      </c>
      <c r="I6" s="625">
        <f t="shared" si="0"/>
        <v>0</v>
      </c>
      <c r="J6" s="626">
        <f>_xlfn.IFNA(VLOOKUP(A6,在建工程明细表!B:Y,24,0),0)</f>
        <v>0</v>
      </c>
      <c r="K6" s="626">
        <f>_xlfn.IFNA(VLOOKUP(A6,在建工程明细表!B:Y,22,0),0)</f>
        <v>0</v>
      </c>
      <c r="L6" s="625">
        <f>在建工程明细表!Z6</f>
        <v>0</v>
      </c>
      <c r="M6" s="625" t="str">
        <f>_xlfn.IFNA(VLOOKUP(A6,在建工程明细表!B:D,3,0),"")</f>
        <v/>
      </c>
      <c r="N6" s="1"/>
    </row>
    <row r="7" spans="1:14">
      <c r="A7" s="229">
        <f>INDEX(在建工程明细表!B:B,MATCH(G7,在建工程明细表!O:O,0))</f>
        <v>0</v>
      </c>
      <c r="B7" s="229">
        <f>_xlfn.IFNA(VLOOKUP(A7,在建工程明细表!B:E,2,0),0)</f>
        <v>0</v>
      </c>
      <c r="C7" s="229">
        <f>_xlfn.IFNA(VLOOKUP(A7,在建工程明细表!B:E,4,0),0)</f>
        <v>0</v>
      </c>
      <c r="D7" s="229">
        <f>_xlfn.IFNA(VLOOKUP(A7,在建工程明细表!B:H,7,0),0)</f>
        <v>0</v>
      </c>
      <c r="E7" s="229">
        <f>_xlfn.IFNA(VLOOKUP(A7,在建工程明细表!B:I,8,0),0)</f>
        <v>0</v>
      </c>
      <c r="F7" s="229">
        <f>_xlfn.IFNA(VLOOKUP(A7,在建工程明细表!B:N,13,0)-E7,0)</f>
        <v>0</v>
      </c>
      <c r="G7" s="229">
        <f>LARGE(在建工程明细表!O:O,6)</f>
        <v>0</v>
      </c>
      <c r="H7" s="625">
        <f>_xlfn.IFNA(VLOOKUP(A7,在建工程明细表!B:P,15,0),0)</f>
        <v>0</v>
      </c>
      <c r="I7" s="625">
        <f t="shared" si="0"/>
        <v>0</v>
      </c>
      <c r="J7" s="626">
        <f>_xlfn.IFNA(VLOOKUP(A7,在建工程明细表!B:Y,24,0),0)</f>
        <v>0</v>
      </c>
      <c r="K7" s="626">
        <f>_xlfn.IFNA(VLOOKUP(A7,在建工程明细表!B:Y,22,0),0)</f>
        <v>0</v>
      </c>
      <c r="L7" s="625">
        <f>在建工程明细表!Z7</f>
        <v>0</v>
      </c>
      <c r="M7" s="625" t="str">
        <f>_xlfn.IFNA(VLOOKUP(A7,在建工程明细表!B:D,3,0),"")</f>
        <v/>
      </c>
      <c r="N7" s="1"/>
    </row>
    <row r="8" spans="1:14">
      <c r="A8" s="229">
        <f>INDEX(在建工程明细表!B:B,MATCH(G8,在建工程明细表!O:O,0))</f>
        <v>0</v>
      </c>
      <c r="B8" s="229">
        <f>_xlfn.IFNA(VLOOKUP(A8,在建工程明细表!B:E,2,0),0)</f>
        <v>0</v>
      </c>
      <c r="C8" s="229">
        <f>_xlfn.IFNA(VLOOKUP(A8,在建工程明细表!B:E,4,0),0)</f>
        <v>0</v>
      </c>
      <c r="D8" s="229">
        <f>_xlfn.IFNA(VLOOKUP(A8,在建工程明细表!B:H,7,0),0)</f>
        <v>0</v>
      </c>
      <c r="E8" s="229">
        <f>_xlfn.IFNA(VLOOKUP(A8,在建工程明细表!B:I,8,0),0)</f>
        <v>0</v>
      </c>
      <c r="F8" s="229">
        <f>_xlfn.IFNA(VLOOKUP(A8,在建工程明细表!B:N,13,0)-E8,0)</f>
        <v>0</v>
      </c>
      <c r="G8" s="229">
        <f>LARGE(在建工程明细表!O:O,7)</f>
        <v>0</v>
      </c>
      <c r="H8" s="625">
        <f>_xlfn.IFNA(VLOOKUP(A8,在建工程明细表!B:P,15,0),0)</f>
        <v>0</v>
      </c>
      <c r="I8" s="625">
        <f t="shared" si="0"/>
        <v>0</v>
      </c>
      <c r="J8" s="626">
        <f>_xlfn.IFNA(VLOOKUP(A8,在建工程明细表!B:Y,24,0),0)</f>
        <v>0</v>
      </c>
      <c r="K8" s="626">
        <f>_xlfn.IFNA(VLOOKUP(A8,在建工程明细表!B:Y,22,0),0)</f>
        <v>0</v>
      </c>
      <c r="L8" s="625">
        <f>在建工程明细表!Z8</f>
        <v>0</v>
      </c>
      <c r="M8" s="625" t="str">
        <f>_xlfn.IFNA(VLOOKUP(A8,在建工程明细表!B:D,3,0),"")</f>
        <v/>
      </c>
      <c r="N8" s="1"/>
    </row>
    <row r="9" spans="1:14">
      <c r="A9" s="229">
        <f>INDEX(在建工程明细表!B:B,MATCH(G9,在建工程明细表!O:O,0))</f>
        <v>0</v>
      </c>
      <c r="B9" s="229">
        <f>_xlfn.IFNA(VLOOKUP(A9,在建工程明细表!B:E,2,0),0)</f>
        <v>0</v>
      </c>
      <c r="C9" s="229">
        <f>_xlfn.IFNA(VLOOKUP(A9,在建工程明细表!B:E,4,0),0)</f>
        <v>0</v>
      </c>
      <c r="D9" s="229">
        <f>_xlfn.IFNA(VLOOKUP(A9,在建工程明细表!B:H,7,0),0)</f>
        <v>0</v>
      </c>
      <c r="E9" s="229">
        <f>_xlfn.IFNA(VLOOKUP(A9,在建工程明细表!B:I,8,0),0)</f>
        <v>0</v>
      </c>
      <c r="F9" s="229">
        <f>_xlfn.IFNA(VLOOKUP(A9,在建工程明细表!B:N,13,0)-E9,0)</f>
        <v>0</v>
      </c>
      <c r="G9" s="229">
        <f>LARGE(在建工程明细表!O:O,8)</f>
        <v>0</v>
      </c>
      <c r="H9" s="625">
        <f>_xlfn.IFNA(VLOOKUP(A9,在建工程明细表!B:P,15,0),0)</f>
        <v>0</v>
      </c>
      <c r="I9" s="625">
        <f t="shared" si="0"/>
        <v>0</v>
      </c>
      <c r="J9" s="626">
        <f>_xlfn.IFNA(VLOOKUP(A9,在建工程明细表!B:Y,24,0),0)</f>
        <v>0</v>
      </c>
      <c r="K9" s="626">
        <f>_xlfn.IFNA(VLOOKUP(A9,在建工程明细表!B:Y,22,0),0)</f>
        <v>0</v>
      </c>
      <c r="L9" s="625">
        <f>在建工程明细表!Z9</f>
        <v>0</v>
      </c>
      <c r="M9" s="625" t="str">
        <f>_xlfn.IFNA(VLOOKUP(A9,在建工程明细表!B:D,3,0),"")</f>
        <v/>
      </c>
      <c r="N9" s="1"/>
    </row>
    <row r="10" spans="1:14">
      <c r="A10" s="18" t="s">
        <v>2404</v>
      </c>
      <c r="B10" s="1"/>
      <c r="C10" s="1">
        <f>SUM(C2:C9)</f>
        <v>0</v>
      </c>
      <c r="D10" s="1">
        <f t="shared" ref="D10:G10" si="1">SUM(D2:D9)</f>
        <v>0</v>
      </c>
      <c r="E10" s="1">
        <f t="shared" si="1"/>
        <v>0</v>
      </c>
      <c r="F10" s="1">
        <f t="shared" si="1"/>
        <v>0</v>
      </c>
      <c r="G10" s="1">
        <f t="shared" si="1"/>
        <v>0</v>
      </c>
      <c r="H10" s="1"/>
      <c r="I10" s="1"/>
      <c r="J10" s="1">
        <f t="shared" ref="J10:K10" si="2">SUM(J2:J9)</f>
        <v>0</v>
      </c>
      <c r="K10" s="1">
        <f t="shared" si="2"/>
        <v>0</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codeName="Sheet215">
    <tabColor rgb="FFFFC000"/>
  </sheetPr>
  <dimension ref="A1:C13"/>
  <sheetViews>
    <sheetView workbookViewId="0">
      <selection activeCell="I21" sqref="I21"/>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28</v>
      </c>
      <c r="B1" s="35" t="s">
        <v>3363</v>
      </c>
      <c r="C1" s="35" t="s">
        <v>455</v>
      </c>
    </row>
    <row r="2" spans="1:3">
      <c r="A2" s="561">
        <f>在建工程明细表!B2</f>
        <v>0</v>
      </c>
      <c r="B2" s="289">
        <f>在建工程明细表!R2</f>
        <v>0</v>
      </c>
      <c r="C2" s="561">
        <f>在建工程明细表!U2</f>
        <v>0</v>
      </c>
    </row>
    <row r="3" spans="1:3">
      <c r="A3" s="561">
        <f>在建工程明细表!B3</f>
        <v>0</v>
      </c>
      <c r="B3" s="289">
        <f>在建工程明细表!R3</f>
        <v>0</v>
      </c>
      <c r="C3" s="561">
        <f>在建工程明细表!U3</f>
        <v>0</v>
      </c>
    </row>
    <row r="4" spans="1:3">
      <c r="A4" s="561">
        <f>在建工程明细表!B4</f>
        <v>0</v>
      </c>
      <c r="B4" s="289">
        <f>在建工程明细表!R4</f>
        <v>0</v>
      </c>
      <c r="C4" s="561">
        <f>在建工程明细表!U4</f>
        <v>0</v>
      </c>
    </row>
    <row r="5" spans="1:3">
      <c r="A5" s="561">
        <f>在建工程明细表!B5</f>
        <v>0</v>
      </c>
      <c r="B5" s="289">
        <f>在建工程明细表!R5</f>
        <v>0</v>
      </c>
      <c r="C5" s="561">
        <f>在建工程明细表!U5</f>
        <v>0</v>
      </c>
    </row>
    <row r="6" spans="1:3">
      <c r="A6" s="561">
        <f>在建工程明细表!B6</f>
        <v>0</v>
      </c>
      <c r="B6" s="289">
        <f>在建工程明细表!R6</f>
        <v>0</v>
      </c>
      <c r="C6" s="561">
        <f>在建工程明细表!U6</f>
        <v>0</v>
      </c>
    </row>
    <row r="7" spans="1:3">
      <c r="A7" s="561">
        <f>在建工程明细表!B7</f>
        <v>0</v>
      </c>
      <c r="B7" s="289">
        <f>在建工程明细表!R7</f>
        <v>0</v>
      </c>
      <c r="C7" s="561">
        <f>在建工程明细表!U7</f>
        <v>0</v>
      </c>
    </row>
    <row r="8" spans="1:3">
      <c r="A8" s="561">
        <f>在建工程明细表!B8</f>
        <v>0</v>
      </c>
      <c r="B8" s="289">
        <f>在建工程明细表!R8</f>
        <v>0</v>
      </c>
      <c r="C8" s="561">
        <f>在建工程明细表!U8</f>
        <v>0</v>
      </c>
    </row>
    <row r="9" spans="1:3">
      <c r="A9" s="561">
        <f>在建工程明细表!B9</f>
        <v>0</v>
      </c>
      <c r="B9" s="289">
        <f>在建工程明细表!R9</f>
        <v>0</v>
      </c>
      <c r="C9" s="561">
        <f>在建工程明细表!U9</f>
        <v>0</v>
      </c>
    </row>
    <row r="10" spans="1:3">
      <c r="A10" s="561">
        <f>在建工程明细表!B10</f>
        <v>0</v>
      </c>
      <c r="B10" s="289">
        <f>在建工程明细表!R10</f>
        <v>0</v>
      </c>
      <c r="C10" s="561">
        <f>在建工程明细表!U10</f>
        <v>0</v>
      </c>
    </row>
    <row r="11" spans="1:3">
      <c r="A11" s="561">
        <f>在建工程明细表!B11</f>
        <v>0</v>
      </c>
      <c r="B11" s="289">
        <f>在建工程明细表!R11</f>
        <v>0</v>
      </c>
      <c r="C11" s="561">
        <f>在建工程明细表!U11</f>
        <v>0</v>
      </c>
    </row>
    <row r="12" spans="1:3">
      <c r="A12" s="561">
        <f>在建工程明细表!B12</f>
        <v>0</v>
      </c>
      <c r="B12" s="289">
        <f>在建工程明细表!R12</f>
        <v>0</v>
      </c>
      <c r="C12" s="561">
        <f>在建工程明细表!U12</f>
        <v>0</v>
      </c>
    </row>
    <row r="13" spans="1:3" ht="14.4">
      <c r="A13" s="154" t="s">
        <v>204</v>
      </c>
      <c r="B13" s="156">
        <f>SUM(B2:B12)</f>
        <v>0</v>
      </c>
      <c r="C13" s="585"/>
    </row>
  </sheetData>
  <phoneticPr fontId="1"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78E6-CDEF-4DA5-88D2-C1D65285561F}">
  <sheetPr codeName="Sheet216"/>
  <dimension ref="A1:Z18"/>
  <sheetViews>
    <sheetView workbookViewId="0">
      <selection activeCell="I20" sqref="I20"/>
    </sheetView>
  </sheetViews>
  <sheetFormatPr defaultRowHeight="13.8"/>
  <cols>
    <col min="8" max="8" width="8.88671875" style="229"/>
    <col min="9" max="9" width="13.88671875" style="229" bestFit="1" customWidth="1"/>
    <col min="10" max="10" width="18.33203125" style="229" bestFit="1" customWidth="1"/>
    <col min="11" max="14" width="8.88671875" style="229"/>
    <col min="15" max="15" width="10.6640625" style="229" bestFit="1" customWidth="1"/>
    <col min="16" max="21" width="10.6640625" style="229" customWidth="1"/>
  </cols>
  <sheetData>
    <row r="1" spans="1:26">
      <c r="A1" t="s">
        <v>1976</v>
      </c>
      <c r="B1" t="s">
        <v>95</v>
      </c>
      <c r="C1" t="s">
        <v>3566</v>
      </c>
      <c r="D1" t="s">
        <v>3570</v>
      </c>
      <c r="E1" t="s">
        <v>246</v>
      </c>
      <c r="F1" t="s">
        <v>3559</v>
      </c>
      <c r="G1" t="s">
        <v>3081</v>
      </c>
      <c r="H1" s="229" t="s">
        <v>2872</v>
      </c>
      <c r="I1" s="229" t="s">
        <v>3560</v>
      </c>
      <c r="J1" s="229" t="s">
        <v>3561</v>
      </c>
      <c r="K1" s="229" t="s">
        <v>3076</v>
      </c>
      <c r="L1" s="229" t="s">
        <v>3562</v>
      </c>
      <c r="M1" s="229" t="s">
        <v>358</v>
      </c>
      <c r="N1" s="229" t="s">
        <v>2873</v>
      </c>
      <c r="O1" s="229" t="s">
        <v>245</v>
      </c>
      <c r="P1" s="229" t="s">
        <v>3568</v>
      </c>
      <c r="Q1" s="229" t="s">
        <v>274</v>
      </c>
      <c r="R1" s="229" t="s">
        <v>2349</v>
      </c>
      <c r="S1" s="229" t="s">
        <v>335</v>
      </c>
      <c r="T1" s="229" t="s">
        <v>271</v>
      </c>
      <c r="U1" s="229" t="s">
        <v>3569</v>
      </c>
      <c r="V1" s="229" t="s">
        <v>2409</v>
      </c>
      <c r="W1" s="229" t="s">
        <v>3563</v>
      </c>
      <c r="X1" s="229" t="s">
        <v>3564</v>
      </c>
      <c r="Y1" s="229" t="s">
        <v>3565</v>
      </c>
      <c r="Z1" s="229" t="s">
        <v>3567</v>
      </c>
    </row>
    <row r="2" spans="1:26">
      <c r="A2" t="str">
        <f>IF(OR(E2&gt;0,O2&gt;0),基础信息!$B$1,"")</f>
        <v/>
      </c>
      <c r="B2" s="255"/>
      <c r="C2" s="255"/>
      <c r="D2" s="255"/>
      <c r="E2" s="255"/>
      <c r="F2" s="255"/>
      <c r="G2" s="255"/>
      <c r="H2" s="229">
        <f t="shared" ref="H2:H18" si="0">SUM(F2:G2)</f>
        <v>0</v>
      </c>
      <c r="I2" s="288"/>
      <c r="J2" s="288"/>
      <c r="K2" s="288"/>
      <c r="L2" s="288"/>
      <c r="M2" s="288"/>
      <c r="N2" s="229">
        <f>SUM(I2:M2)</f>
        <v>0</v>
      </c>
      <c r="O2" s="229">
        <f t="shared" ref="O2:O18" si="1">E2+H2-N2</f>
        <v>0</v>
      </c>
      <c r="P2" s="229">
        <f>IFERROR(O2/C2,0)*100</f>
        <v>0</v>
      </c>
      <c r="Q2" s="288"/>
      <c r="R2" s="288"/>
      <c r="S2" s="288"/>
      <c r="T2" s="229">
        <f>Q2+R2-S2</f>
        <v>0</v>
      </c>
      <c r="U2" s="288"/>
      <c r="V2" s="255"/>
      <c r="W2" s="255"/>
      <c r="X2" s="255"/>
      <c r="Y2">
        <f>V2+W2-X2</f>
        <v>0</v>
      </c>
      <c r="Z2" s="255"/>
    </row>
    <row r="3" spans="1:26">
      <c r="A3" t="str">
        <f>IF(OR(E3&gt;0,O3&gt;0),基础信息!$B$1,"")</f>
        <v/>
      </c>
      <c r="B3" s="255"/>
      <c r="C3" s="255"/>
      <c r="D3" s="255"/>
      <c r="E3" s="255"/>
      <c r="F3" s="255"/>
      <c r="G3" s="255"/>
      <c r="H3" s="229">
        <f t="shared" si="0"/>
        <v>0</v>
      </c>
      <c r="I3" s="288"/>
      <c r="J3" s="288"/>
      <c r="K3" s="288"/>
      <c r="L3" s="288"/>
      <c r="M3" s="288"/>
      <c r="N3" s="229">
        <f t="shared" ref="N3:N18" si="2">SUM(I3:M3)</f>
        <v>0</v>
      </c>
      <c r="O3" s="229">
        <f t="shared" si="1"/>
        <v>0</v>
      </c>
      <c r="P3" s="229">
        <f t="shared" ref="P3:P18" si="3">IFERROR(O3/C3,0)*100</f>
        <v>0</v>
      </c>
      <c r="Q3" s="288"/>
      <c r="R3" s="288"/>
      <c r="S3" s="288"/>
      <c r="T3" s="229">
        <f t="shared" ref="T3:T18" si="4">Q3+R3-S3</f>
        <v>0</v>
      </c>
      <c r="U3" s="288"/>
      <c r="V3" s="255"/>
      <c r="W3" s="255"/>
      <c r="X3" s="255"/>
      <c r="Y3">
        <f t="shared" ref="Y3:Y18" si="5">V3+W3-X3</f>
        <v>0</v>
      </c>
      <c r="Z3" s="255"/>
    </row>
    <row r="4" spans="1:26">
      <c r="A4" t="str">
        <f>IF(OR(E4&gt;0,O4&gt;0),基础信息!$B$1,"")</f>
        <v/>
      </c>
      <c r="B4" s="255"/>
      <c r="C4" s="255"/>
      <c r="D4" s="255"/>
      <c r="E4" s="255"/>
      <c r="F4" s="255"/>
      <c r="G4" s="255"/>
      <c r="H4" s="229">
        <f t="shared" si="0"/>
        <v>0</v>
      </c>
      <c r="I4" s="288"/>
      <c r="J4" s="288"/>
      <c r="K4" s="288"/>
      <c r="L4" s="288"/>
      <c r="M4" s="288"/>
      <c r="N4" s="229">
        <f t="shared" si="2"/>
        <v>0</v>
      </c>
      <c r="O4" s="229">
        <f t="shared" si="1"/>
        <v>0</v>
      </c>
      <c r="P4" s="229">
        <f t="shared" si="3"/>
        <v>0</v>
      </c>
      <c r="Q4" s="288"/>
      <c r="R4" s="288"/>
      <c r="S4" s="288"/>
      <c r="T4" s="229">
        <f t="shared" si="4"/>
        <v>0</v>
      </c>
      <c r="U4" s="288"/>
      <c r="V4" s="255"/>
      <c r="W4" s="255"/>
      <c r="X4" s="255"/>
      <c r="Y4">
        <f t="shared" si="5"/>
        <v>0</v>
      </c>
      <c r="Z4" s="255"/>
    </row>
    <row r="5" spans="1:26">
      <c r="A5" t="str">
        <f>IF(OR(E5&gt;0,O5&gt;0),基础信息!$B$1,"")</f>
        <v/>
      </c>
      <c r="B5" s="255"/>
      <c r="C5" s="255"/>
      <c r="D5" s="255"/>
      <c r="E5" s="255"/>
      <c r="F5" s="255"/>
      <c r="G5" s="255"/>
      <c r="H5" s="229">
        <f t="shared" si="0"/>
        <v>0</v>
      </c>
      <c r="I5" s="288"/>
      <c r="J5" s="288"/>
      <c r="K5" s="288"/>
      <c r="L5" s="288"/>
      <c r="M5" s="288"/>
      <c r="N5" s="229">
        <f t="shared" si="2"/>
        <v>0</v>
      </c>
      <c r="O5" s="229">
        <f t="shared" si="1"/>
        <v>0</v>
      </c>
      <c r="P5" s="229">
        <f t="shared" si="3"/>
        <v>0</v>
      </c>
      <c r="Q5" s="288"/>
      <c r="R5" s="288"/>
      <c r="S5" s="288"/>
      <c r="T5" s="229">
        <f t="shared" si="4"/>
        <v>0</v>
      </c>
      <c r="U5" s="288"/>
      <c r="V5" s="255"/>
      <c r="W5" s="255"/>
      <c r="X5" s="255"/>
      <c r="Y5">
        <f t="shared" si="5"/>
        <v>0</v>
      </c>
      <c r="Z5" s="255"/>
    </row>
    <row r="6" spans="1:26">
      <c r="A6" t="str">
        <f>IF(OR(E6&gt;0,O6&gt;0),基础信息!$B$1,"")</f>
        <v/>
      </c>
      <c r="B6" s="255"/>
      <c r="C6" s="255"/>
      <c r="D6" s="255"/>
      <c r="E6" s="255"/>
      <c r="F6" s="255"/>
      <c r="G6" s="255"/>
      <c r="H6" s="229">
        <f t="shared" si="0"/>
        <v>0</v>
      </c>
      <c r="I6" s="288"/>
      <c r="J6" s="288"/>
      <c r="K6" s="288"/>
      <c r="L6" s="288"/>
      <c r="M6" s="288"/>
      <c r="N6" s="229">
        <f t="shared" si="2"/>
        <v>0</v>
      </c>
      <c r="O6" s="229">
        <f t="shared" si="1"/>
        <v>0</v>
      </c>
      <c r="P6" s="229">
        <f t="shared" si="3"/>
        <v>0</v>
      </c>
      <c r="Q6" s="288"/>
      <c r="R6" s="288"/>
      <c r="S6" s="288"/>
      <c r="T6" s="229">
        <f t="shared" si="4"/>
        <v>0</v>
      </c>
      <c r="U6" s="288"/>
      <c r="V6" s="255"/>
      <c r="W6" s="255"/>
      <c r="X6" s="255"/>
      <c r="Y6">
        <f t="shared" si="5"/>
        <v>0</v>
      </c>
      <c r="Z6" s="255"/>
    </row>
    <row r="7" spans="1:26">
      <c r="A7" t="str">
        <f>IF(OR(E7&gt;0,O7&gt;0),基础信息!$B$1,"")</f>
        <v/>
      </c>
      <c r="B7" s="255"/>
      <c r="C7" s="255"/>
      <c r="D7" s="255"/>
      <c r="E7" s="255"/>
      <c r="F7" s="255"/>
      <c r="G7" s="255"/>
      <c r="H7" s="229">
        <f t="shared" si="0"/>
        <v>0</v>
      </c>
      <c r="I7" s="288"/>
      <c r="J7" s="288"/>
      <c r="K7" s="288"/>
      <c r="L7" s="288"/>
      <c r="M7" s="288"/>
      <c r="N7" s="229">
        <f t="shared" si="2"/>
        <v>0</v>
      </c>
      <c r="O7" s="229">
        <f t="shared" si="1"/>
        <v>0</v>
      </c>
      <c r="P7" s="229">
        <f t="shared" si="3"/>
        <v>0</v>
      </c>
      <c r="Q7" s="288"/>
      <c r="R7" s="288"/>
      <c r="S7" s="288"/>
      <c r="T7" s="229">
        <f t="shared" si="4"/>
        <v>0</v>
      </c>
      <c r="U7" s="288"/>
      <c r="V7" s="255"/>
      <c r="W7" s="255"/>
      <c r="X7" s="255"/>
      <c r="Y7">
        <f t="shared" si="5"/>
        <v>0</v>
      </c>
      <c r="Z7" s="255"/>
    </row>
    <row r="8" spans="1:26">
      <c r="A8" t="str">
        <f>IF(OR(E8&gt;0,O8&gt;0),基础信息!$B$1,"")</f>
        <v/>
      </c>
      <c r="B8" s="255"/>
      <c r="C8" s="255"/>
      <c r="D8" s="255"/>
      <c r="E8" s="255"/>
      <c r="F8" s="255"/>
      <c r="G8" s="255"/>
      <c r="H8" s="229">
        <f t="shared" si="0"/>
        <v>0</v>
      </c>
      <c r="I8" s="288"/>
      <c r="J8" s="288"/>
      <c r="K8" s="288"/>
      <c r="L8" s="288"/>
      <c r="M8" s="288"/>
      <c r="N8" s="229">
        <f t="shared" si="2"/>
        <v>0</v>
      </c>
      <c r="O8" s="229">
        <f t="shared" si="1"/>
        <v>0</v>
      </c>
      <c r="P8" s="229">
        <f t="shared" si="3"/>
        <v>0</v>
      </c>
      <c r="Q8" s="288"/>
      <c r="R8" s="288"/>
      <c r="S8" s="288"/>
      <c r="T8" s="229">
        <f t="shared" si="4"/>
        <v>0</v>
      </c>
      <c r="U8" s="288"/>
      <c r="V8" s="255"/>
      <c r="W8" s="255"/>
      <c r="X8" s="255"/>
      <c r="Y8">
        <f t="shared" si="5"/>
        <v>0</v>
      </c>
      <c r="Z8" s="255"/>
    </row>
    <row r="9" spans="1:26">
      <c r="A9" t="str">
        <f>IF(OR(E9&gt;0,O9&gt;0),基础信息!$B$1,"")</f>
        <v/>
      </c>
      <c r="B9" s="255"/>
      <c r="C9" s="255"/>
      <c r="D9" s="255"/>
      <c r="E9" s="255"/>
      <c r="F9" s="255"/>
      <c r="G9" s="255"/>
      <c r="H9" s="229">
        <f t="shared" si="0"/>
        <v>0</v>
      </c>
      <c r="I9" s="288"/>
      <c r="J9" s="288"/>
      <c r="K9" s="288"/>
      <c r="L9" s="288"/>
      <c r="M9" s="288"/>
      <c r="N9" s="229">
        <f t="shared" si="2"/>
        <v>0</v>
      </c>
      <c r="O9" s="229">
        <f t="shared" si="1"/>
        <v>0</v>
      </c>
      <c r="P9" s="229">
        <f t="shared" si="3"/>
        <v>0</v>
      </c>
      <c r="Q9" s="288"/>
      <c r="R9" s="288"/>
      <c r="S9" s="288"/>
      <c r="T9" s="229">
        <f t="shared" si="4"/>
        <v>0</v>
      </c>
      <c r="U9" s="288"/>
      <c r="V9" s="255"/>
      <c r="W9" s="255"/>
      <c r="X9" s="255"/>
      <c r="Y9">
        <f t="shared" si="5"/>
        <v>0</v>
      </c>
      <c r="Z9" s="255"/>
    </row>
    <row r="10" spans="1:26">
      <c r="A10" t="str">
        <f>IF(OR(E10&gt;0,O10&gt;0),基础信息!$B$1,"")</f>
        <v/>
      </c>
      <c r="B10" s="255"/>
      <c r="C10" s="255"/>
      <c r="D10" s="255"/>
      <c r="E10" s="255"/>
      <c r="F10" s="255"/>
      <c r="G10" s="255"/>
      <c r="H10" s="229">
        <f t="shared" si="0"/>
        <v>0</v>
      </c>
      <c r="I10" s="288"/>
      <c r="J10" s="288"/>
      <c r="K10" s="288"/>
      <c r="L10" s="288"/>
      <c r="M10" s="288"/>
      <c r="N10" s="229">
        <f t="shared" si="2"/>
        <v>0</v>
      </c>
      <c r="O10" s="229">
        <f t="shared" si="1"/>
        <v>0</v>
      </c>
      <c r="P10" s="229">
        <f t="shared" si="3"/>
        <v>0</v>
      </c>
      <c r="Q10" s="288"/>
      <c r="R10" s="288"/>
      <c r="S10" s="288"/>
      <c r="T10" s="229">
        <f t="shared" si="4"/>
        <v>0</v>
      </c>
      <c r="U10" s="288"/>
      <c r="V10" s="255"/>
      <c r="W10" s="255"/>
      <c r="X10" s="255"/>
      <c r="Y10">
        <f t="shared" si="5"/>
        <v>0</v>
      </c>
      <c r="Z10" s="255"/>
    </row>
    <row r="11" spans="1:26">
      <c r="A11" t="str">
        <f>IF(OR(E11&gt;0,O11&gt;0),基础信息!$B$1,"")</f>
        <v/>
      </c>
      <c r="B11" s="255"/>
      <c r="C11" s="255"/>
      <c r="D11" s="255"/>
      <c r="E11" s="255"/>
      <c r="F11" s="255"/>
      <c r="G11" s="255"/>
      <c r="H11" s="229">
        <f t="shared" si="0"/>
        <v>0</v>
      </c>
      <c r="I11" s="288"/>
      <c r="J11" s="288"/>
      <c r="K11" s="288"/>
      <c r="L11" s="288"/>
      <c r="M11" s="288"/>
      <c r="N11" s="229">
        <f t="shared" si="2"/>
        <v>0</v>
      </c>
      <c r="O11" s="229">
        <f t="shared" si="1"/>
        <v>0</v>
      </c>
      <c r="P11" s="229">
        <f t="shared" si="3"/>
        <v>0</v>
      </c>
      <c r="Q11" s="288"/>
      <c r="R11" s="288"/>
      <c r="S11" s="288"/>
      <c r="T11" s="229">
        <f t="shared" si="4"/>
        <v>0</v>
      </c>
      <c r="U11" s="288"/>
      <c r="V11" s="255"/>
      <c r="W11" s="255"/>
      <c r="X11" s="255"/>
      <c r="Y11">
        <f t="shared" si="5"/>
        <v>0</v>
      </c>
      <c r="Z11" s="255"/>
    </row>
    <row r="12" spans="1:26">
      <c r="A12" t="str">
        <f>IF(OR(E12&gt;0,O12&gt;0),基础信息!$B$1,"")</f>
        <v/>
      </c>
      <c r="B12" s="255"/>
      <c r="C12" s="255"/>
      <c r="D12" s="255"/>
      <c r="E12" s="255"/>
      <c r="F12" s="255"/>
      <c r="G12" s="255"/>
      <c r="H12" s="229">
        <f t="shared" si="0"/>
        <v>0</v>
      </c>
      <c r="I12" s="288"/>
      <c r="J12" s="288"/>
      <c r="K12" s="288"/>
      <c r="L12" s="288"/>
      <c r="M12" s="288"/>
      <c r="N12" s="229">
        <f t="shared" si="2"/>
        <v>0</v>
      </c>
      <c r="O12" s="229">
        <f t="shared" si="1"/>
        <v>0</v>
      </c>
      <c r="P12" s="229">
        <f t="shared" si="3"/>
        <v>0</v>
      </c>
      <c r="Q12" s="288"/>
      <c r="R12" s="288"/>
      <c r="S12" s="288"/>
      <c r="T12" s="229">
        <f t="shared" si="4"/>
        <v>0</v>
      </c>
      <c r="U12" s="288"/>
      <c r="V12" s="255"/>
      <c r="W12" s="255"/>
      <c r="X12" s="255"/>
      <c r="Y12">
        <f t="shared" si="5"/>
        <v>0</v>
      </c>
      <c r="Z12" s="255"/>
    </row>
    <row r="13" spans="1:26">
      <c r="A13" t="str">
        <f>IF(OR(E13&gt;0,O13&gt;0),基础信息!$B$1,"")</f>
        <v/>
      </c>
      <c r="B13" s="255"/>
      <c r="C13" s="255"/>
      <c r="D13" s="255"/>
      <c r="E13" s="255"/>
      <c r="F13" s="255"/>
      <c r="G13" s="255"/>
      <c r="H13" s="229">
        <f t="shared" si="0"/>
        <v>0</v>
      </c>
      <c r="I13" s="288"/>
      <c r="J13" s="288"/>
      <c r="K13" s="288"/>
      <c r="L13" s="288"/>
      <c r="M13" s="288"/>
      <c r="N13" s="229">
        <f t="shared" si="2"/>
        <v>0</v>
      </c>
      <c r="O13" s="229">
        <f t="shared" si="1"/>
        <v>0</v>
      </c>
      <c r="P13" s="229">
        <f t="shared" si="3"/>
        <v>0</v>
      </c>
      <c r="Q13" s="288"/>
      <c r="R13" s="288"/>
      <c r="S13" s="288"/>
      <c r="T13" s="229">
        <f t="shared" si="4"/>
        <v>0</v>
      </c>
      <c r="U13" s="288"/>
      <c r="V13" s="255"/>
      <c r="W13" s="255"/>
      <c r="X13" s="255"/>
      <c r="Y13">
        <f t="shared" si="5"/>
        <v>0</v>
      </c>
      <c r="Z13" s="255"/>
    </row>
    <row r="14" spans="1:26">
      <c r="A14" t="str">
        <f>IF(OR(E14&gt;0,O14&gt;0),基础信息!$B$1,"")</f>
        <v/>
      </c>
      <c r="B14" s="255"/>
      <c r="C14" s="255"/>
      <c r="D14" s="255"/>
      <c r="E14" s="255"/>
      <c r="F14" s="255"/>
      <c r="G14" s="255"/>
      <c r="H14" s="229">
        <f t="shared" si="0"/>
        <v>0</v>
      </c>
      <c r="I14" s="288"/>
      <c r="J14" s="288"/>
      <c r="K14" s="288"/>
      <c r="L14" s="288"/>
      <c r="M14" s="288"/>
      <c r="N14" s="229">
        <f t="shared" si="2"/>
        <v>0</v>
      </c>
      <c r="O14" s="229">
        <f t="shared" si="1"/>
        <v>0</v>
      </c>
      <c r="P14" s="229">
        <f t="shared" si="3"/>
        <v>0</v>
      </c>
      <c r="Q14" s="288"/>
      <c r="R14" s="288"/>
      <c r="S14" s="288"/>
      <c r="T14" s="229">
        <f t="shared" si="4"/>
        <v>0</v>
      </c>
      <c r="U14" s="288"/>
      <c r="V14" s="255"/>
      <c r="W14" s="255"/>
      <c r="X14" s="255"/>
      <c r="Y14">
        <f t="shared" si="5"/>
        <v>0</v>
      </c>
      <c r="Z14" s="255"/>
    </row>
    <row r="15" spans="1:26">
      <c r="A15" t="str">
        <f>IF(OR(E15&gt;0,O15&gt;0),基础信息!$B$1,"")</f>
        <v/>
      </c>
      <c r="B15" s="255"/>
      <c r="C15" s="255"/>
      <c r="D15" s="255"/>
      <c r="E15" s="255"/>
      <c r="F15" s="255"/>
      <c r="G15" s="255"/>
      <c r="H15" s="229">
        <f t="shared" si="0"/>
        <v>0</v>
      </c>
      <c r="I15" s="288"/>
      <c r="J15" s="288"/>
      <c r="K15" s="288"/>
      <c r="L15" s="288"/>
      <c r="M15" s="288"/>
      <c r="N15" s="229">
        <f t="shared" si="2"/>
        <v>0</v>
      </c>
      <c r="O15" s="229">
        <f t="shared" si="1"/>
        <v>0</v>
      </c>
      <c r="P15" s="229">
        <f t="shared" si="3"/>
        <v>0</v>
      </c>
      <c r="Q15" s="288"/>
      <c r="R15" s="288"/>
      <c r="S15" s="288"/>
      <c r="T15" s="229">
        <f t="shared" si="4"/>
        <v>0</v>
      </c>
      <c r="U15" s="288"/>
      <c r="V15" s="255"/>
      <c r="W15" s="255"/>
      <c r="X15" s="255"/>
      <c r="Y15">
        <f t="shared" si="5"/>
        <v>0</v>
      </c>
      <c r="Z15" s="255"/>
    </row>
    <row r="16" spans="1:26">
      <c r="A16" t="str">
        <f>IF(OR(E16&gt;0,O16&gt;0),基础信息!$B$1,"")</f>
        <v/>
      </c>
      <c r="B16" s="255"/>
      <c r="C16" s="255"/>
      <c r="D16" s="255"/>
      <c r="E16" s="255"/>
      <c r="F16" s="255"/>
      <c r="G16" s="255"/>
      <c r="H16" s="229">
        <f t="shared" si="0"/>
        <v>0</v>
      </c>
      <c r="I16" s="288"/>
      <c r="J16" s="288"/>
      <c r="K16" s="288"/>
      <c r="L16" s="288"/>
      <c r="M16" s="288"/>
      <c r="N16" s="229">
        <f t="shared" si="2"/>
        <v>0</v>
      </c>
      <c r="O16" s="229">
        <f t="shared" si="1"/>
        <v>0</v>
      </c>
      <c r="P16" s="229">
        <f t="shared" si="3"/>
        <v>0</v>
      </c>
      <c r="Q16" s="288"/>
      <c r="R16" s="288"/>
      <c r="S16" s="288"/>
      <c r="T16" s="229">
        <f t="shared" si="4"/>
        <v>0</v>
      </c>
      <c r="U16" s="288"/>
      <c r="V16" s="255"/>
      <c r="W16" s="255"/>
      <c r="X16" s="255"/>
      <c r="Y16">
        <f t="shared" si="5"/>
        <v>0</v>
      </c>
      <c r="Z16" s="255"/>
    </row>
    <row r="17" spans="1:26">
      <c r="A17" t="str">
        <f>IF(OR(E17&gt;0,O17&gt;0),基础信息!$B$1,"")</f>
        <v/>
      </c>
      <c r="B17" s="255"/>
      <c r="C17" s="255"/>
      <c r="D17" s="255"/>
      <c r="E17" s="255"/>
      <c r="F17" s="255"/>
      <c r="G17" s="255"/>
      <c r="H17" s="229">
        <f t="shared" si="0"/>
        <v>0</v>
      </c>
      <c r="I17" s="288"/>
      <c r="J17" s="288"/>
      <c r="K17" s="288"/>
      <c r="L17" s="288"/>
      <c r="M17" s="288"/>
      <c r="N17" s="229">
        <f t="shared" si="2"/>
        <v>0</v>
      </c>
      <c r="O17" s="229">
        <f t="shared" si="1"/>
        <v>0</v>
      </c>
      <c r="P17" s="229">
        <f t="shared" si="3"/>
        <v>0</v>
      </c>
      <c r="Q17" s="288"/>
      <c r="R17" s="288"/>
      <c r="S17" s="288"/>
      <c r="T17" s="229">
        <f t="shared" si="4"/>
        <v>0</v>
      </c>
      <c r="U17" s="288"/>
      <c r="V17" s="255"/>
      <c r="W17" s="255"/>
      <c r="X17" s="255"/>
      <c r="Y17">
        <f t="shared" si="5"/>
        <v>0</v>
      </c>
      <c r="Z17" s="255"/>
    </row>
    <row r="18" spans="1:26">
      <c r="A18" t="str">
        <f>IF(OR(E18&gt;0,O18&gt;0),基础信息!$B$1,"")</f>
        <v/>
      </c>
      <c r="B18" s="255"/>
      <c r="C18" s="255"/>
      <c r="D18" s="255"/>
      <c r="E18" s="255"/>
      <c r="F18" s="255"/>
      <c r="G18" s="255"/>
      <c r="H18" s="229">
        <f t="shared" si="0"/>
        <v>0</v>
      </c>
      <c r="I18" s="288"/>
      <c r="J18" s="288"/>
      <c r="K18" s="288"/>
      <c r="L18" s="288"/>
      <c r="M18" s="288"/>
      <c r="N18" s="229">
        <f t="shared" si="2"/>
        <v>0</v>
      </c>
      <c r="O18" s="229">
        <f t="shared" si="1"/>
        <v>0</v>
      </c>
      <c r="P18" s="229">
        <f t="shared" si="3"/>
        <v>0</v>
      </c>
      <c r="Q18" s="288"/>
      <c r="R18" s="288"/>
      <c r="S18" s="288"/>
      <c r="T18" s="229">
        <f t="shared" si="4"/>
        <v>0</v>
      </c>
      <c r="U18" s="288"/>
      <c r="V18" s="255"/>
      <c r="W18" s="255"/>
      <c r="X18" s="255"/>
      <c r="Y18">
        <f t="shared" si="5"/>
        <v>0</v>
      </c>
      <c r="Z18" s="255"/>
    </row>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codeName="Sheet217">
    <tabColor rgb="FFFFC000"/>
  </sheetPr>
  <dimension ref="A1:C5"/>
  <sheetViews>
    <sheetView workbookViewId="0">
      <selection activeCell="I15" sqref="I15"/>
    </sheetView>
  </sheetViews>
  <sheetFormatPr defaultRowHeight="13.8"/>
  <cols>
    <col min="1" max="16384" width="8.88671875" style="18"/>
  </cols>
  <sheetData>
    <row r="1" spans="1:3" ht="14.4">
      <c r="A1" s="31" t="s">
        <v>28</v>
      </c>
      <c r="B1" s="20" t="s">
        <v>203</v>
      </c>
      <c r="C1" s="20" t="s">
        <v>265</v>
      </c>
    </row>
    <row r="2" spans="1:3" ht="14.4">
      <c r="A2" s="377" t="s">
        <v>440</v>
      </c>
      <c r="B2" s="68">
        <f>ROUND(SUMIF(工程物资明细表!B:B,工程物资!A2,工程物资明细表!N:N),2)</f>
        <v>0</v>
      </c>
      <c r="C2" s="68">
        <f>ROUND(SUMIF(工程物资明细表!B:B,工程物资!A2,工程物资明细表!M:M),2)</f>
        <v>0</v>
      </c>
    </row>
    <row r="3" spans="1:3" ht="14.4">
      <c r="A3" s="377" t="s">
        <v>3780</v>
      </c>
      <c r="B3" s="68">
        <f>ROUND(SUMIF(工程物资明细表!B:B,工程物资!A3,工程物资明细表!N:N),2)</f>
        <v>0</v>
      </c>
      <c r="C3" s="68">
        <f>ROUND(SUMIF(工程物资明细表!B:B,工程物资!A3,工程物资明细表!M:M),2)</f>
        <v>0</v>
      </c>
    </row>
    <row r="4" spans="1:3" ht="14.4">
      <c r="A4" s="377"/>
      <c r="B4" s="68">
        <f>ROUND(SUMIF(工程物资明细表!B:B,工程物资!A4,工程物资明细表!N:N),2)</f>
        <v>0</v>
      </c>
      <c r="C4" s="68">
        <f>ROUND(SUMIF(工程物资明细表!B:B,工程物资!A4,工程物资明细表!M:M),2)</f>
        <v>0</v>
      </c>
    </row>
    <row r="5" spans="1:3" ht="14.4">
      <c r="A5" s="31" t="s">
        <v>2404</v>
      </c>
      <c r="B5" s="68">
        <f>ROUND(SUM(B2:B4),2)</f>
        <v>0</v>
      </c>
      <c r="C5" s="68">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0449C3-A6DE-4339-9E75-6D2CA2C25219}">
          <x14:formula1>
            <xm:f>分类表!$98:$98</xm:f>
          </x14:formula1>
          <xm:sqref>A2:A4</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F92A-8200-45D6-9035-0E34ED917E50}">
  <sheetPr codeName="Sheet218"/>
  <dimension ref="A1:N16"/>
  <sheetViews>
    <sheetView workbookViewId="0">
      <selection activeCell="A7" sqref="A7"/>
    </sheetView>
  </sheetViews>
  <sheetFormatPr defaultRowHeight="13.8"/>
  <cols>
    <col min="4" max="4" width="40.21875" bestFit="1" customWidth="1"/>
    <col min="5" max="5" width="20.44140625" bestFit="1" customWidth="1"/>
    <col min="6" max="6" width="9.5546875" bestFit="1" customWidth="1"/>
    <col min="8" max="8" width="13.88671875" bestFit="1" customWidth="1"/>
    <col min="9" max="9" width="18.33203125" bestFit="1" customWidth="1"/>
  </cols>
  <sheetData>
    <row r="1" spans="1:14" s="236" customFormat="1" ht="27.6">
      <c r="A1" s="236" t="s">
        <v>2383</v>
      </c>
      <c r="B1" s="236" t="s">
        <v>28</v>
      </c>
      <c r="C1" s="236" t="s">
        <v>3742</v>
      </c>
      <c r="D1" s="236" t="s">
        <v>3550</v>
      </c>
      <c r="E1" s="236" t="s">
        <v>3571</v>
      </c>
      <c r="F1" s="236" t="s">
        <v>477</v>
      </c>
      <c r="G1" s="236" t="s">
        <v>3719</v>
      </c>
      <c r="H1" s="236" t="s">
        <v>274</v>
      </c>
      <c r="I1" s="236" t="s">
        <v>3739</v>
      </c>
      <c r="J1" s="236" t="s">
        <v>3740</v>
      </c>
      <c r="K1" s="236" t="s">
        <v>3741</v>
      </c>
      <c r="L1" s="236" t="s">
        <v>3472</v>
      </c>
      <c r="M1" s="236" t="s">
        <v>320</v>
      </c>
      <c r="N1" s="236" t="s">
        <v>318</v>
      </c>
    </row>
    <row r="2" spans="1:14">
      <c r="A2" t="str">
        <f>IF(OR(C2&gt;0,G2&gt;0),基础信息!$B$1,"")</f>
        <v/>
      </c>
      <c r="B2" s="276"/>
      <c r="C2" s="255"/>
      <c r="D2" s="255"/>
      <c r="E2" s="255"/>
      <c r="F2" s="255"/>
      <c r="G2">
        <f>C2+D2+E2-F2</f>
        <v>0</v>
      </c>
      <c r="H2" s="255"/>
      <c r="I2" s="255"/>
      <c r="J2" s="255"/>
      <c r="K2" s="255"/>
      <c r="L2">
        <f>H2+I2+J2-K2</f>
        <v>0</v>
      </c>
      <c r="M2">
        <f>C2-H2</f>
        <v>0</v>
      </c>
      <c r="N2">
        <f>G2-L2</f>
        <v>0</v>
      </c>
    </row>
    <row r="3" spans="1:14">
      <c r="A3" t="str">
        <f>IF(OR(C3&gt;0,G3&gt;0),基础信息!$B$1,"")</f>
        <v/>
      </c>
      <c r="B3" s="276"/>
      <c r="C3" s="255"/>
      <c r="D3" s="255"/>
      <c r="E3" s="255"/>
      <c r="F3" s="255"/>
      <c r="G3">
        <f t="shared" ref="G3:G16" si="0">C3+D3+E3-F3</f>
        <v>0</v>
      </c>
      <c r="H3" s="255"/>
      <c r="I3" s="255"/>
      <c r="J3" s="255"/>
      <c r="K3" s="255"/>
      <c r="L3">
        <f t="shared" ref="L3:L16" si="1">H3+I3+J3-K3</f>
        <v>0</v>
      </c>
      <c r="M3">
        <f t="shared" ref="M3:M16" si="2">C3-H3</f>
        <v>0</v>
      </c>
      <c r="N3">
        <f t="shared" ref="N3:N16" si="3">G3-L3</f>
        <v>0</v>
      </c>
    </row>
    <row r="4" spans="1:14">
      <c r="A4" t="str">
        <f>IF(OR(C4&gt;0,G4&gt;0),基础信息!$B$1,"")</f>
        <v/>
      </c>
      <c r="B4" s="276"/>
      <c r="C4" s="255"/>
      <c r="D4" s="255"/>
      <c r="E4" s="255"/>
      <c r="F4" s="255"/>
      <c r="G4">
        <f t="shared" si="0"/>
        <v>0</v>
      </c>
      <c r="H4" s="255"/>
      <c r="I4" s="255"/>
      <c r="J4" s="255"/>
      <c r="K4" s="255"/>
      <c r="L4">
        <f t="shared" si="1"/>
        <v>0</v>
      </c>
      <c r="M4">
        <f t="shared" si="2"/>
        <v>0</v>
      </c>
      <c r="N4">
        <f t="shared" si="3"/>
        <v>0</v>
      </c>
    </row>
    <row r="5" spans="1:14">
      <c r="A5" t="str">
        <f>IF(OR(C5&gt;0,G5&gt;0),基础信息!$B$1,"")</f>
        <v/>
      </c>
      <c r="B5" s="276"/>
      <c r="C5" s="255"/>
      <c r="D5" s="255"/>
      <c r="E5" s="255"/>
      <c r="F5" s="255"/>
      <c r="G5">
        <f t="shared" si="0"/>
        <v>0</v>
      </c>
      <c r="H5" s="255"/>
      <c r="I5" s="255"/>
      <c r="J5" s="255"/>
      <c r="K5" s="255"/>
      <c r="L5">
        <f t="shared" si="1"/>
        <v>0</v>
      </c>
      <c r="M5">
        <f t="shared" si="2"/>
        <v>0</v>
      </c>
      <c r="N5">
        <f t="shared" si="3"/>
        <v>0</v>
      </c>
    </row>
    <row r="6" spans="1:14">
      <c r="A6" t="str">
        <f>IF(OR(C6&gt;0,G6&gt;0),基础信息!$B$1,"")</f>
        <v/>
      </c>
      <c r="B6" s="276"/>
      <c r="C6" s="255"/>
      <c r="D6" s="255"/>
      <c r="E6" s="255"/>
      <c r="F6" s="255"/>
      <c r="G6">
        <f t="shared" si="0"/>
        <v>0</v>
      </c>
      <c r="H6" s="255"/>
      <c r="I6" s="255"/>
      <c r="J6" s="255"/>
      <c r="K6" s="255"/>
      <c r="L6">
        <f t="shared" si="1"/>
        <v>0</v>
      </c>
      <c r="M6">
        <f t="shared" si="2"/>
        <v>0</v>
      </c>
      <c r="N6">
        <f t="shared" si="3"/>
        <v>0</v>
      </c>
    </row>
    <row r="7" spans="1:14">
      <c r="A7" t="str">
        <f>IF(OR(C7&gt;0,G7&gt;0),基础信息!$B$1,"")</f>
        <v/>
      </c>
      <c r="B7" s="276"/>
      <c r="C7" s="255"/>
      <c r="D7" s="255"/>
      <c r="E7" s="255"/>
      <c r="F7" s="255"/>
      <c r="G7">
        <f t="shared" si="0"/>
        <v>0</v>
      </c>
      <c r="H7" s="255"/>
      <c r="I7" s="255"/>
      <c r="J7" s="255"/>
      <c r="K7" s="255"/>
      <c r="L7">
        <f t="shared" si="1"/>
        <v>0</v>
      </c>
      <c r="M7">
        <f t="shared" si="2"/>
        <v>0</v>
      </c>
      <c r="N7">
        <f t="shared" si="3"/>
        <v>0</v>
      </c>
    </row>
    <row r="8" spans="1:14">
      <c r="A8" t="str">
        <f>IF(OR(C8&gt;0,G8&gt;0),基础信息!$B$1,"")</f>
        <v/>
      </c>
      <c r="B8" s="276"/>
      <c r="C8" s="255"/>
      <c r="D8" s="255"/>
      <c r="E8" s="255"/>
      <c r="F8" s="255"/>
      <c r="G8">
        <f t="shared" si="0"/>
        <v>0</v>
      </c>
      <c r="H8" s="255"/>
      <c r="I8" s="255"/>
      <c r="J8" s="255"/>
      <c r="K8" s="255"/>
      <c r="L8">
        <f t="shared" si="1"/>
        <v>0</v>
      </c>
      <c r="M8">
        <f t="shared" si="2"/>
        <v>0</v>
      </c>
      <c r="N8">
        <f t="shared" si="3"/>
        <v>0</v>
      </c>
    </row>
    <row r="9" spans="1:14">
      <c r="A9" t="str">
        <f>IF(OR(C9&gt;0,G9&gt;0),基础信息!$B$1,"")</f>
        <v/>
      </c>
      <c r="B9" s="276"/>
      <c r="C9" s="255"/>
      <c r="D9" s="255"/>
      <c r="E9" s="255"/>
      <c r="F9" s="255"/>
      <c r="G9">
        <f t="shared" si="0"/>
        <v>0</v>
      </c>
      <c r="H9" s="255"/>
      <c r="I9" s="255"/>
      <c r="J9" s="255"/>
      <c r="K9" s="255"/>
      <c r="L9">
        <f t="shared" si="1"/>
        <v>0</v>
      </c>
      <c r="M9">
        <f t="shared" si="2"/>
        <v>0</v>
      </c>
      <c r="N9">
        <f t="shared" si="3"/>
        <v>0</v>
      </c>
    </row>
    <row r="10" spans="1:14">
      <c r="A10" t="str">
        <f>IF(OR(C10&gt;0,G10&gt;0),基础信息!$B$1,"")</f>
        <v/>
      </c>
      <c r="B10" s="276"/>
      <c r="C10" s="255"/>
      <c r="D10" s="255"/>
      <c r="E10" s="255"/>
      <c r="F10" s="255"/>
      <c r="G10">
        <f t="shared" si="0"/>
        <v>0</v>
      </c>
      <c r="H10" s="255"/>
      <c r="I10" s="255"/>
      <c r="J10" s="255"/>
      <c r="K10" s="255"/>
      <c r="L10">
        <f t="shared" si="1"/>
        <v>0</v>
      </c>
      <c r="M10">
        <f t="shared" si="2"/>
        <v>0</v>
      </c>
      <c r="N10">
        <f t="shared" si="3"/>
        <v>0</v>
      </c>
    </row>
    <row r="11" spans="1:14">
      <c r="A11" t="str">
        <f>IF(OR(C11&gt;0,G11&gt;0),基础信息!$B$1,"")</f>
        <v/>
      </c>
      <c r="B11" s="276"/>
      <c r="C11" s="255"/>
      <c r="D11" s="255"/>
      <c r="E11" s="255"/>
      <c r="F11" s="255"/>
      <c r="G11">
        <f t="shared" si="0"/>
        <v>0</v>
      </c>
      <c r="H11" s="255"/>
      <c r="I11" s="255"/>
      <c r="J11" s="255"/>
      <c r="K11" s="255"/>
      <c r="L11">
        <f t="shared" si="1"/>
        <v>0</v>
      </c>
      <c r="M11">
        <f t="shared" si="2"/>
        <v>0</v>
      </c>
      <c r="N11">
        <f t="shared" si="3"/>
        <v>0</v>
      </c>
    </row>
    <row r="12" spans="1:14">
      <c r="A12" t="str">
        <f>IF(OR(C12&gt;0,G12&gt;0),基础信息!$B$1,"")</f>
        <v/>
      </c>
      <c r="B12" s="276"/>
      <c r="C12" s="255"/>
      <c r="D12" s="255"/>
      <c r="E12" s="255"/>
      <c r="F12" s="255"/>
      <c r="G12">
        <f t="shared" si="0"/>
        <v>0</v>
      </c>
      <c r="H12" s="255"/>
      <c r="I12" s="255"/>
      <c r="J12" s="255"/>
      <c r="K12" s="255"/>
      <c r="L12">
        <f t="shared" si="1"/>
        <v>0</v>
      </c>
      <c r="M12">
        <f t="shared" si="2"/>
        <v>0</v>
      </c>
      <c r="N12">
        <f t="shared" si="3"/>
        <v>0</v>
      </c>
    </row>
    <row r="13" spans="1:14">
      <c r="A13" t="str">
        <f>IF(OR(C13&gt;0,G13&gt;0),基础信息!$B$1,"")</f>
        <v/>
      </c>
      <c r="B13" s="276"/>
      <c r="C13" s="255"/>
      <c r="D13" s="255"/>
      <c r="E13" s="255"/>
      <c r="F13" s="255"/>
      <c r="G13">
        <f t="shared" si="0"/>
        <v>0</v>
      </c>
      <c r="H13" s="255"/>
      <c r="I13" s="255"/>
      <c r="J13" s="255"/>
      <c r="K13" s="255"/>
      <c r="L13">
        <f t="shared" si="1"/>
        <v>0</v>
      </c>
      <c r="M13">
        <f t="shared" si="2"/>
        <v>0</v>
      </c>
      <c r="N13">
        <f t="shared" si="3"/>
        <v>0</v>
      </c>
    </row>
    <row r="14" spans="1:14">
      <c r="A14" t="str">
        <f>IF(OR(C14&gt;0,G14&gt;0),基础信息!$B$1,"")</f>
        <v/>
      </c>
      <c r="B14" s="276"/>
      <c r="C14" s="255"/>
      <c r="D14" s="255"/>
      <c r="E14" s="255"/>
      <c r="F14" s="255"/>
      <c r="G14">
        <f t="shared" si="0"/>
        <v>0</v>
      </c>
      <c r="H14" s="255"/>
      <c r="I14" s="255"/>
      <c r="J14" s="255"/>
      <c r="K14" s="255"/>
      <c r="L14">
        <f t="shared" si="1"/>
        <v>0</v>
      </c>
      <c r="M14">
        <f t="shared" si="2"/>
        <v>0</v>
      </c>
      <c r="N14">
        <f t="shared" si="3"/>
        <v>0</v>
      </c>
    </row>
    <row r="15" spans="1:14">
      <c r="A15" t="str">
        <f>IF(OR(C15&gt;0,G15&gt;0),基础信息!$B$1,"")</f>
        <v/>
      </c>
      <c r="B15" s="276"/>
      <c r="C15" s="255"/>
      <c r="D15" s="255"/>
      <c r="E15" s="255"/>
      <c r="F15" s="255"/>
      <c r="G15">
        <f t="shared" si="0"/>
        <v>0</v>
      </c>
      <c r="H15" s="255"/>
      <c r="I15" s="255"/>
      <c r="J15" s="255"/>
      <c r="K15" s="255"/>
      <c r="L15">
        <f t="shared" si="1"/>
        <v>0</v>
      </c>
      <c r="M15">
        <f t="shared" si="2"/>
        <v>0</v>
      </c>
      <c r="N15">
        <f t="shared" si="3"/>
        <v>0</v>
      </c>
    </row>
    <row r="16" spans="1:14">
      <c r="A16" t="str">
        <f>IF(OR(C16&gt;0,G16&gt;0),基础信息!$B$1,"")</f>
        <v/>
      </c>
      <c r="B16" s="276"/>
      <c r="C16" s="255"/>
      <c r="D16" s="255"/>
      <c r="E16" s="255"/>
      <c r="F16" s="255"/>
      <c r="G16">
        <f t="shared" si="0"/>
        <v>0</v>
      </c>
      <c r="H16" s="255"/>
      <c r="I16" s="255"/>
      <c r="J16" s="255"/>
      <c r="K16" s="255"/>
      <c r="L16">
        <f t="shared" si="1"/>
        <v>0</v>
      </c>
      <c r="M16">
        <f t="shared" si="2"/>
        <v>0</v>
      </c>
      <c r="N16">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216CF1-98F1-488C-BB86-5E3D2DF9BDD3}">
          <x14:formula1>
            <xm:f>分类表!$98:$98</xm:f>
          </x14:formula1>
          <xm:sqref>B2</xm:sqref>
        </x14:dataValidation>
      </x14:dataValidation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codeName="Sheet219">
    <tabColor rgb="FFFFC000"/>
  </sheetPr>
  <dimension ref="A1:F34"/>
  <sheetViews>
    <sheetView topLeftCell="A13" workbookViewId="0">
      <selection activeCell="I18" sqref="I18"/>
    </sheetView>
  </sheetViews>
  <sheetFormatPr defaultRowHeight="13.8"/>
  <cols>
    <col min="1" max="1" width="17.21875" style="150" bestFit="1" customWidth="1"/>
    <col min="2" max="5" width="13.44140625" style="136" customWidth="1"/>
    <col min="6" max="6" width="8.88671875" style="136"/>
    <col min="7" max="16384" width="8.88671875" style="150"/>
  </cols>
  <sheetData>
    <row r="1" spans="1:6" ht="14.4">
      <c r="A1" s="75" t="s">
        <v>28</v>
      </c>
      <c r="B1" s="531" t="s">
        <v>3084</v>
      </c>
      <c r="C1" s="531" t="s">
        <v>3085</v>
      </c>
      <c r="D1" s="531" t="s">
        <v>3086</v>
      </c>
      <c r="E1" s="531" t="s">
        <v>3087</v>
      </c>
      <c r="F1" s="531" t="s">
        <v>204</v>
      </c>
    </row>
    <row r="2" spans="1:6" ht="14.4">
      <c r="A2" s="150" t="s">
        <v>424</v>
      </c>
      <c r="B2" s="293"/>
      <c r="C2" s="293"/>
      <c r="D2" s="293"/>
      <c r="E2" s="293"/>
      <c r="F2" s="293"/>
    </row>
    <row r="3" spans="1:6" ht="14.4">
      <c r="A3" s="294" t="s">
        <v>456</v>
      </c>
      <c r="B3" s="293">
        <f>ROUND(SUMIF(生产性生物资产明细表!$H:$H,B$1&amp;"原值期初数",生产性生物资产明细表!$F:$F),2)</f>
        <v>0</v>
      </c>
      <c r="C3" s="293">
        <f>ROUND(SUMIF(生产性生物资产明细表!$H:$H,C$1&amp;"原值期初数",生产性生物资产明细表!$F:$F),2)</f>
        <v>0</v>
      </c>
      <c r="D3" s="293">
        <f>ROUND(SUMIF(生产性生物资产明细表!$H:$H,D$1&amp;"原值期初数",生产性生物资产明细表!$F:$F),2)</f>
        <v>0</v>
      </c>
      <c r="E3" s="293">
        <f>ROUND(SUMIF(生产性生物资产明细表!$H:$H,E$1&amp;"原值期初数",生产性生物资产明细表!$F:$F),2)</f>
        <v>0</v>
      </c>
      <c r="F3" s="293">
        <f t="shared" ref="F3:F11" si="0">ROUND(SUM(B3:E3),2)</f>
        <v>0</v>
      </c>
    </row>
    <row r="4" spans="1:6" ht="14.4">
      <c r="A4" s="294" t="s">
        <v>457</v>
      </c>
      <c r="B4" s="293">
        <f>ROUND(SUM(B5:B8),2)</f>
        <v>0</v>
      </c>
      <c r="C4" s="293">
        <f>ROUND(SUM(C5:C8),2)</f>
        <v>0</v>
      </c>
      <c r="D4" s="293">
        <f>ROUND(SUM(D5:D8),2)</f>
        <v>0</v>
      </c>
      <c r="E4" s="293">
        <f>ROUND(SUM(E5:E8),2)</f>
        <v>0</v>
      </c>
      <c r="F4" s="293">
        <f t="shared" si="0"/>
        <v>0</v>
      </c>
    </row>
    <row r="5" spans="1:6" ht="14.4">
      <c r="A5" s="294" t="s">
        <v>3759</v>
      </c>
      <c r="B5" s="293">
        <f>ROUND(SUMIF(生产性生物资产明细表!$H:$H,B$1&amp;"原值本期增加"&amp;REPLACE($A5,1,3,""),生产性生物资产明细表!$F:$F),2)</f>
        <v>0</v>
      </c>
      <c r="C5" s="293">
        <f>ROUND(SUMIF(生产性生物资产明细表!$H:$H,C$1&amp;"原值本期增加"&amp;REPLACE($A5,1,3,""),生产性生物资产明细表!$F:$F),2)</f>
        <v>0</v>
      </c>
      <c r="D5" s="293">
        <f>ROUND(SUMIF(生产性生物资产明细表!$H:$H,D$1&amp;"原值本期增加"&amp;REPLACE($A5,1,3,""),生产性生物资产明细表!$F:$F),2)</f>
        <v>0</v>
      </c>
      <c r="E5" s="293">
        <f>ROUND(SUMIF(生产性生物资产明细表!$H:$H,E$1&amp;"原值本期增加"&amp;REPLACE($A5,1,3,""),生产性生物资产明细表!$F:$F),2)</f>
        <v>0</v>
      </c>
      <c r="F5" s="293">
        <f t="shared" si="0"/>
        <v>0</v>
      </c>
    </row>
    <row r="6" spans="1:6" ht="14.4">
      <c r="A6" s="294" t="s">
        <v>3781</v>
      </c>
      <c r="B6" s="293">
        <f>ROUND(SUMIF(生产性生物资产明细表!$H:$H,B$1&amp;"原值本期增加"&amp;REPLACE($A6,1,3,""),生产性生物资产明细表!$F:$F),2)</f>
        <v>0</v>
      </c>
      <c r="C6" s="293">
        <f>ROUND(SUMIF(生产性生物资产明细表!$H:$H,C$1&amp;"原值本期增加"&amp;REPLACE($A6,1,3,""),生产性生物资产明细表!$F:$F),2)</f>
        <v>0</v>
      </c>
      <c r="D6" s="293">
        <f>ROUND(SUMIF(生产性生物资产明细表!$H:$H,D$1&amp;"原值本期增加"&amp;REPLACE($A6,1,3,""),生产性生物资产明细表!$F:$F),2)</f>
        <v>0</v>
      </c>
      <c r="E6" s="293">
        <f>ROUND(SUMIF(生产性生物资产明细表!$H:$H,E$1&amp;"原值本期增加"&amp;REPLACE($A6,1,3,""),生产性生物资产明细表!$F:$F),2)</f>
        <v>0</v>
      </c>
      <c r="F6" s="293">
        <f t="shared" si="0"/>
        <v>0</v>
      </c>
    </row>
    <row r="7" spans="1:6" ht="14.4">
      <c r="A7" s="294" t="s">
        <v>3762</v>
      </c>
      <c r="B7" s="293">
        <f>ROUND(SUMIF(生产性生物资产明细表!$H:$H,B$1&amp;"原值本期增加"&amp;REPLACE($A7,1,3,""),生产性生物资产明细表!$F:$F),2)</f>
        <v>0</v>
      </c>
      <c r="C7" s="293">
        <f>ROUND(SUMIF(生产性生物资产明细表!$H:$H,C$1&amp;"原值本期增加"&amp;REPLACE($A7,1,3,""),生产性生物资产明细表!$F:$F),2)</f>
        <v>0</v>
      </c>
      <c r="D7" s="293">
        <f>ROUND(SUMIF(生产性生物资产明细表!$H:$H,D$1&amp;"原值本期增加"&amp;REPLACE($A7,1,3,""),生产性生物资产明细表!$F:$F),2)</f>
        <v>0</v>
      </c>
      <c r="E7" s="293">
        <f>ROUND(SUMIF(生产性生物资产明细表!$H:$H,E$1&amp;"原值本期增加"&amp;REPLACE($A7,1,3,""),生产性生物资产明细表!$F:$F),2)</f>
        <v>0</v>
      </c>
      <c r="F7" s="293">
        <f t="shared" si="0"/>
        <v>0</v>
      </c>
    </row>
    <row r="8" spans="1:6" ht="14.4">
      <c r="A8" s="294" t="s">
        <v>458</v>
      </c>
      <c r="B8" s="293">
        <f>ROUND(SUM(B9:B10),2)</f>
        <v>0</v>
      </c>
      <c r="C8" s="293">
        <f>ROUND(SUM(C9:C10),2)</f>
        <v>0</v>
      </c>
      <c r="D8" s="293">
        <f>ROUND(SUM(D9:D10),2)</f>
        <v>0</v>
      </c>
      <c r="E8" s="293">
        <f>ROUND(SUM(E9:E10),2)</f>
        <v>0</v>
      </c>
      <c r="F8" s="293">
        <f t="shared" si="0"/>
        <v>0</v>
      </c>
    </row>
    <row r="9" spans="1:6" ht="14.4">
      <c r="A9" s="294" t="s">
        <v>3763</v>
      </c>
      <c r="B9" s="293">
        <f>ROUND(SUMIF(生产性生物资产明细表!$H:$H,B$1&amp;"原值本期减少"&amp;REPLACE($A9,1,3,""),生产性生物资产明细表!$F:$F),2)</f>
        <v>0</v>
      </c>
      <c r="C9" s="293">
        <f>ROUND(SUMIF(生产性生物资产明细表!$H:$H,C$1&amp;"原值本期减少"&amp;REPLACE($A9,1,3,""),生产性生物资产明细表!$F:$F),2)</f>
        <v>0</v>
      </c>
      <c r="D9" s="293">
        <f>ROUND(SUMIF(生产性生物资产明细表!$H:$H,D$1&amp;"原值本期减少"&amp;REPLACE($A9,1,3,""),生产性生物资产明细表!$F:$F),2)</f>
        <v>0</v>
      </c>
      <c r="E9" s="293">
        <f>ROUND(SUMIF(生产性生物资产明细表!$H:$H,E$1&amp;"原值本期减少"&amp;REPLACE($A9,1,3,""),生产性生物资产明细表!$F:$F),2)</f>
        <v>0</v>
      </c>
      <c r="F9" s="293">
        <f t="shared" si="0"/>
        <v>0</v>
      </c>
    </row>
    <row r="10" spans="1:6" ht="14.4">
      <c r="A10" s="294" t="s">
        <v>3762</v>
      </c>
      <c r="B10" s="293">
        <f>ROUND(SUMIF(生产性生物资产明细表!$H:$H,B$1&amp;"原值本期减少"&amp;REPLACE($A10,1,3,""),生产性生物资产明细表!$F:$F),2)</f>
        <v>0</v>
      </c>
      <c r="C10" s="293">
        <f>ROUND(SUMIF(生产性生物资产明细表!$H:$H,C$1&amp;"原值本期减少"&amp;REPLACE($A10,1,3,""),生产性生物资产明细表!$F:$F),2)</f>
        <v>0</v>
      </c>
      <c r="D10" s="293">
        <f>ROUND(SUMIF(生产性生物资产明细表!$H:$H,D$1&amp;"原值本期减少"&amp;REPLACE($A10,1,3,""),生产性生物资产明细表!$F:$F),2)</f>
        <v>0</v>
      </c>
      <c r="E10" s="293">
        <f>ROUND(SUMIF(生产性生物资产明细表!$H:$H,E$1&amp;"原值本期减少"&amp;REPLACE($A10,1,3,""),生产性生物资产明细表!$F:$F),2)</f>
        <v>0</v>
      </c>
      <c r="F10" s="293">
        <f t="shared" si="0"/>
        <v>0</v>
      </c>
    </row>
    <row r="11" spans="1:6" ht="14.4">
      <c r="A11" s="294" t="s">
        <v>459</v>
      </c>
      <c r="B11" s="293">
        <f>ROUND(B2+B3-B8,2)</f>
        <v>0</v>
      </c>
      <c r="C11" s="293">
        <f>ROUND(C2+C3-C8,2)</f>
        <v>0</v>
      </c>
      <c r="D11" s="293">
        <f>ROUND(D2+D3-D8,2)</f>
        <v>0</v>
      </c>
      <c r="E11" s="293">
        <f>ROUND(E2+E3-E8,2)</f>
        <v>0</v>
      </c>
      <c r="F11" s="293">
        <f t="shared" si="0"/>
        <v>0</v>
      </c>
    </row>
    <row r="12" spans="1:6" ht="14.4">
      <c r="A12" s="294" t="s">
        <v>460</v>
      </c>
      <c r="B12" s="293"/>
      <c r="C12" s="293"/>
      <c r="D12" s="293"/>
      <c r="E12" s="293"/>
      <c r="F12" s="293"/>
    </row>
    <row r="13" spans="1:6" ht="14.4">
      <c r="A13" s="294" t="s">
        <v>456</v>
      </c>
      <c r="B13" s="293">
        <f>ROUND(SUMIF(生产性生物资产明细表!$H:$H,B$1&amp;"累计折旧期初数",生产性生物资产明细表!$F:$F),2)</f>
        <v>0</v>
      </c>
      <c r="C13" s="293">
        <f>ROUND(SUMIF(生产性生物资产明细表!$H:$H,C$1&amp;"累计折旧期初数",生产性生物资产明细表!$F:$F),2)</f>
        <v>0</v>
      </c>
      <c r="D13" s="293">
        <f>ROUND(SUMIF(生产性生物资产明细表!$H:$H,D$1&amp;"累计折旧期初数",生产性生物资产明细表!$F:$F),2)</f>
        <v>0</v>
      </c>
      <c r="E13" s="293">
        <f>ROUND(SUMIF(生产性生物资产明细表!$H:$H,E$1&amp;"累计折旧期初数",生产性生物资产明细表!$F:$F),2)</f>
        <v>0</v>
      </c>
      <c r="F13" s="293">
        <f t="shared" ref="F13:F20" si="1">ROUND(SUM(B13:E13),2)</f>
        <v>0</v>
      </c>
    </row>
    <row r="14" spans="1:6" ht="14.4">
      <c r="A14" s="294" t="s">
        <v>457</v>
      </c>
      <c r="B14" s="293">
        <f>ROUND(SUM(B15:B16),2)</f>
        <v>0</v>
      </c>
      <c r="C14" s="293">
        <f>ROUND(SUM(C15:C16),2)</f>
        <v>0</v>
      </c>
      <c r="D14" s="293">
        <f>ROUND(SUM(D15:D16),2)</f>
        <v>0</v>
      </c>
      <c r="E14" s="293">
        <f>ROUND(SUM(E15:E16),2)</f>
        <v>0</v>
      </c>
      <c r="F14" s="293">
        <f t="shared" si="1"/>
        <v>0</v>
      </c>
    </row>
    <row r="15" spans="1:6" ht="14.4">
      <c r="A15" s="294" t="s">
        <v>3767</v>
      </c>
      <c r="B15" s="293">
        <f>ROUND(SUMIF(生产性生物资产明细表!$H:$H,B$1&amp;"累计折旧本期增加"&amp;REPLACE($A15,1,3,""),生产性生物资产明细表!$F:$F),2)</f>
        <v>0</v>
      </c>
      <c r="C15" s="293">
        <f>ROUND(SUMIF(生产性生物资产明细表!$H:$H,C$1&amp;"累计折旧本期增加"&amp;REPLACE($A15,1,3,""),生产性生物资产明细表!$F:$F),2)</f>
        <v>0</v>
      </c>
      <c r="D15" s="293">
        <f>ROUND(SUMIF(生产性生物资产明细表!$H:$H,D$1&amp;"累计折旧本期增加"&amp;REPLACE($A15,1,3,""),生产性生物资产明细表!$F:$F),2)</f>
        <v>0</v>
      </c>
      <c r="E15" s="293">
        <f>ROUND(SUMIF(生产性生物资产明细表!$H:$H,E$1&amp;"累计折旧本期增加"&amp;REPLACE($A15,1,3,""),生产性生物资产明细表!$F:$F),2)</f>
        <v>0</v>
      </c>
      <c r="F15" s="293">
        <f t="shared" si="1"/>
        <v>0</v>
      </c>
    </row>
    <row r="16" spans="1:6" ht="14.4">
      <c r="A16" s="294" t="s">
        <v>3762</v>
      </c>
      <c r="B16" s="293">
        <f>ROUND(SUMIF(生产性生物资产明细表!$H:$H,B$1&amp;"累计折旧本期增加"&amp;REPLACE($A16,1,3,""),生产性生物资产明细表!$F:$F),2)</f>
        <v>0</v>
      </c>
      <c r="C16" s="293">
        <f>ROUND(SUMIF(生产性生物资产明细表!$H:$H,C$1&amp;"累计折旧本期增加"&amp;REPLACE($A16,1,3,""),生产性生物资产明细表!$F:$F),2)</f>
        <v>0</v>
      </c>
      <c r="D16" s="293">
        <f>ROUND(SUMIF(生产性生物资产明细表!$H:$H,D$1&amp;"累计折旧本期增加"&amp;REPLACE($A16,1,3,""),生产性生物资产明细表!$F:$F),2)</f>
        <v>0</v>
      </c>
      <c r="E16" s="293">
        <f>ROUND(SUMIF(生产性生物资产明细表!$H:$H,E$1&amp;"累计折旧本期增加"&amp;REPLACE($A16,1,3,""),生产性生物资产明细表!$F:$F),2)</f>
        <v>0</v>
      </c>
      <c r="F16" s="293">
        <f t="shared" si="1"/>
        <v>0</v>
      </c>
    </row>
    <row r="17" spans="1:6" ht="14.4">
      <c r="A17" s="294" t="s">
        <v>458</v>
      </c>
      <c r="B17" s="293">
        <f>ROUND(SUM(B18:B19),2)</f>
        <v>0</v>
      </c>
      <c r="C17" s="293">
        <f>ROUND(SUM(C18:C19),2)</f>
        <v>0</v>
      </c>
      <c r="D17" s="293">
        <f>ROUND(SUM(D18:D19),2)</f>
        <v>0</v>
      </c>
      <c r="E17" s="293">
        <f>ROUND(SUM(E18:E19),2)</f>
        <v>0</v>
      </c>
      <c r="F17" s="293">
        <f t="shared" si="1"/>
        <v>0</v>
      </c>
    </row>
    <row r="18" spans="1:6" ht="14.4">
      <c r="A18" s="294" t="s">
        <v>3763</v>
      </c>
      <c r="B18" s="293">
        <f>ROUND(SUMIF(生产性生物资产明细表!$H:$H,B$1&amp;"累计折旧本期减少"&amp;REPLACE($A18,1,3,""),生产性生物资产明细表!$F:$F),2)</f>
        <v>0</v>
      </c>
      <c r="C18" s="293">
        <f>ROUND(SUMIF(生产性生物资产明细表!$H:$H,C$1&amp;"累计折旧本期减少"&amp;REPLACE($A18,1,3,""),生产性生物资产明细表!$F:$F),2)</f>
        <v>0</v>
      </c>
      <c r="D18" s="293">
        <f>ROUND(SUMIF(生产性生物资产明细表!$H:$H,D$1&amp;"累计折旧本期减少"&amp;REPLACE($A18,1,3,""),生产性生物资产明细表!$F:$F),2)</f>
        <v>0</v>
      </c>
      <c r="E18" s="293">
        <f>ROUND(SUMIF(生产性生物资产明细表!$H:$H,E$1&amp;"累计折旧本期减少"&amp;REPLACE($A18,1,3,""),生产性生物资产明细表!$F:$F),2)</f>
        <v>0</v>
      </c>
      <c r="F18" s="293">
        <f t="shared" si="1"/>
        <v>0</v>
      </c>
    </row>
    <row r="19" spans="1:6" ht="14.4">
      <c r="A19" s="294" t="s">
        <v>3762</v>
      </c>
      <c r="B19" s="293">
        <f>ROUND(SUMIF(生产性生物资产明细表!$H:$H,B$1&amp;"累计折旧本期减少"&amp;REPLACE($A19,1,3,""),生产性生物资产明细表!$F:$F),2)</f>
        <v>0</v>
      </c>
      <c r="C19" s="293">
        <f>ROUND(SUMIF(生产性生物资产明细表!$H:$H,C$1&amp;"累计折旧本期减少"&amp;REPLACE($A19,1,3,""),生产性生物资产明细表!$F:$F),2)</f>
        <v>0</v>
      </c>
      <c r="D19" s="293">
        <f>ROUND(SUMIF(生产性生物资产明细表!$H:$H,D$1&amp;"累计折旧本期减少"&amp;REPLACE($A19,1,3,""),生产性生物资产明细表!$F:$F),2)</f>
        <v>0</v>
      </c>
      <c r="E19" s="293">
        <f>ROUND(SUMIF(生产性生物资产明细表!$H:$H,E$1&amp;"累计折旧本期减少"&amp;REPLACE($A19,1,3,""),生产性生物资产明细表!$F:$F),2)</f>
        <v>0</v>
      </c>
      <c r="F19" s="293">
        <f t="shared" si="1"/>
        <v>0</v>
      </c>
    </row>
    <row r="20" spans="1:6" ht="14.4">
      <c r="A20" s="294" t="s">
        <v>459</v>
      </c>
      <c r="B20" s="293">
        <f>ROUND(B13+B14-B17,2)</f>
        <v>0</v>
      </c>
      <c r="C20" s="293">
        <f>ROUND(C13+C14-C17,2)</f>
        <v>0</v>
      </c>
      <c r="D20" s="293">
        <f>ROUND(D13+D14-D17,2)</f>
        <v>0</v>
      </c>
      <c r="E20" s="293">
        <f>ROUND(E13+E14-E17,2)</f>
        <v>0</v>
      </c>
      <c r="F20" s="293">
        <f t="shared" si="1"/>
        <v>0</v>
      </c>
    </row>
    <row r="21" spans="1:6" ht="14.4">
      <c r="A21" s="294" t="s">
        <v>461</v>
      </c>
      <c r="B21" s="293"/>
      <c r="C21" s="293"/>
      <c r="D21" s="293"/>
      <c r="E21" s="293"/>
      <c r="F21" s="293"/>
    </row>
    <row r="22" spans="1:6" ht="14.4">
      <c r="A22" s="294" t="s">
        <v>456</v>
      </c>
      <c r="B22" s="293">
        <f>ROUND(SUMIF(生产性生物资产明细表!$H:$H,B$1&amp;"减值准备期初数",生产性生物资产明细表!$F:$F),2)</f>
        <v>0</v>
      </c>
      <c r="C22" s="293">
        <f>ROUND(SUMIF(生产性生物资产明细表!$H:$H,C$1&amp;"减值准备期初数",生产性生物资产明细表!$F:$F),2)</f>
        <v>0</v>
      </c>
      <c r="D22" s="293">
        <f>ROUND(SUMIF(生产性生物资产明细表!$H:$H,D$1&amp;"减值准备期初数",生产性生物资产明细表!$F:$F),2)</f>
        <v>0</v>
      </c>
      <c r="E22" s="293">
        <f>ROUND(SUMIF(生产性生物资产明细表!$H:$H,E$1&amp;"减值准备期初数",生产性生物资产明细表!$F:$F),2)</f>
        <v>0</v>
      </c>
      <c r="F22" s="293">
        <f t="shared" ref="F22:F29" si="2">ROUND(SUM(B22:E22),2)</f>
        <v>0</v>
      </c>
    </row>
    <row r="23" spans="1:6" ht="14.4">
      <c r="A23" s="294" t="s">
        <v>457</v>
      </c>
      <c r="B23" s="293">
        <f>ROUND(SUM(B24:B25),2)</f>
        <v>0</v>
      </c>
      <c r="C23" s="293">
        <f>ROUND(SUM(C24:C25),2)</f>
        <v>0</v>
      </c>
      <c r="D23" s="293">
        <f>ROUND(SUM(D24:D25),2)</f>
        <v>0</v>
      </c>
      <c r="E23" s="293">
        <f>ROUND(SUM(E24:E25),2)</f>
        <v>0</v>
      </c>
      <c r="F23" s="293">
        <f t="shared" si="2"/>
        <v>0</v>
      </c>
    </row>
    <row r="24" spans="1:6" ht="14.4">
      <c r="A24" s="294" t="s">
        <v>3767</v>
      </c>
      <c r="B24" s="293">
        <f>ROUND(SUMIF(生产性生物资产明细表!$H:$H,B$1&amp;"减值准备本期增加"&amp;REPLACE($A24,1,3,""),生产性生物资产明细表!$F:$F),2)</f>
        <v>0</v>
      </c>
      <c r="C24" s="293">
        <f>ROUND(SUMIF(生产性生物资产明细表!$H:$H,C$1&amp;"减值准备本期增加"&amp;REPLACE($A24,1,3,""),生产性生物资产明细表!$F:$F),2)</f>
        <v>0</v>
      </c>
      <c r="D24" s="293">
        <f>ROUND(SUMIF(生产性生物资产明细表!$H:$H,D$1&amp;"减值准备本期增加"&amp;REPLACE($A24,1,3,""),生产性生物资产明细表!$F:$F),2)</f>
        <v>0</v>
      </c>
      <c r="E24" s="293">
        <f>ROUND(SUMIF(生产性生物资产明细表!$H:$H,E$1&amp;"减值准备本期增加"&amp;REPLACE($A24,1,3,""),生产性生物资产明细表!$F:$F),2)</f>
        <v>0</v>
      </c>
      <c r="F24" s="293">
        <f t="shared" si="2"/>
        <v>0</v>
      </c>
    </row>
    <row r="25" spans="1:6" ht="14.4">
      <c r="A25" s="294" t="s">
        <v>3762</v>
      </c>
      <c r="B25" s="293">
        <f>ROUND(SUMIF(生产性生物资产明细表!$H:$H,B$1&amp;"减值准备本期增加"&amp;REPLACE($A25,1,3,""),生产性生物资产明细表!$F:$F),2)</f>
        <v>0</v>
      </c>
      <c r="C25" s="293">
        <f>ROUND(SUMIF(生产性生物资产明细表!$H:$H,C$1&amp;"减值准备本期增加"&amp;REPLACE($A25,1,3,""),生产性生物资产明细表!$F:$F),2)</f>
        <v>0</v>
      </c>
      <c r="D25" s="293">
        <f>ROUND(SUMIF(生产性生物资产明细表!$H:$H,D$1&amp;"减值准备本期增加"&amp;REPLACE($A25,1,3,""),生产性生物资产明细表!$F:$F),2)</f>
        <v>0</v>
      </c>
      <c r="E25" s="293">
        <f>ROUND(SUMIF(生产性生物资产明细表!$H:$H,E$1&amp;"减值准备本期增加"&amp;REPLACE($A25,1,3,""),生产性生物资产明细表!$F:$F),2)</f>
        <v>0</v>
      </c>
      <c r="F25" s="293">
        <f t="shared" si="2"/>
        <v>0</v>
      </c>
    </row>
    <row r="26" spans="1:6" ht="14.4">
      <c r="A26" s="294" t="s">
        <v>458</v>
      </c>
      <c r="B26" s="293">
        <f>ROUND(SUM(B27:B28),2)</f>
        <v>0</v>
      </c>
      <c r="C26" s="293">
        <f>ROUND(SUM(C27:C28),2)</f>
        <v>0</v>
      </c>
      <c r="D26" s="293">
        <f>ROUND(SUM(D27:D28),2)</f>
        <v>0</v>
      </c>
      <c r="E26" s="293">
        <f>ROUND(SUM(E27:E28),2)</f>
        <v>0</v>
      </c>
      <c r="F26" s="293">
        <f t="shared" si="2"/>
        <v>0</v>
      </c>
    </row>
    <row r="27" spans="1:6" ht="14.4">
      <c r="A27" s="294" t="s">
        <v>3763</v>
      </c>
      <c r="B27" s="293">
        <f>ROUND(SUMIF(生产性生物资产明细表!$H:$H,B$1&amp;"减值准备本期减少"&amp;REPLACE($A27,1,3,""),生产性生物资产明细表!$F:$F),2)</f>
        <v>0</v>
      </c>
      <c r="C27" s="293">
        <f>ROUND(SUMIF(生产性生物资产明细表!$H:$H,C$1&amp;"减值准备本期减少"&amp;REPLACE($A27,1,3,""),生产性生物资产明细表!$F:$F),2)</f>
        <v>0</v>
      </c>
      <c r="D27" s="293">
        <f>ROUND(SUMIF(生产性生物资产明细表!$H:$H,D$1&amp;"减值准备本期减少"&amp;REPLACE($A27,1,3,""),生产性生物资产明细表!$F:$F),2)</f>
        <v>0</v>
      </c>
      <c r="E27" s="293">
        <f>ROUND(SUMIF(生产性生物资产明细表!$H:$H,E$1&amp;"减值准备本期减少"&amp;REPLACE($A27,1,3,""),生产性生物资产明细表!$F:$F),2)</f>
        <v>0</v>
      </c>
      <c r="F27" s="293">
        <f t="shared" si="2"/>
        <v>0</v>
      </c>
    </row>
    <row r="28" spans="1:6" ht="14.4">
      <c r="A28" s="294" t="s">
        <v>3762</v>
      </c>
      <c r="B28" s="293">
        <f>ROUND(SUMIF(生产性生物资产明细表!$H:$H,B$1&amp;"减值准备本期减少"&amp;REPLACE($A28,1,3,""),生产性生物资产明细表!$F:$F),2)</f>
        <v>0</v>
      </c>
      <c r="C28" s="293">
        <f>ROUND(SUMIF(生产性生物资产明细表!$H:$H,C$1&amp;"减值准备本期减少"&amp;REPLACE($A28,1,3,""),生产性生物资产明细表!$F:$F),2)</f>
        <v>0</v>
      </c>
      <c r="D28" s="293">
        <f>ROUND(SUMIF(生产性生物资产明细表!$H:$H,D$1&amp;"减值准备本期减少"&amp;REPLACE($A28,1,3,""),生产性生物资产明细表!$F:$F),2)</f>
        <v>0</v>
      </c>
      <c r="E28" s="293">
        <f>ROUND(SUMIF(生产性生物资产明细表!$H:$H,E$1&amp;"减值准备本期减少"&amp;REPLACE($A28,1,3,""),生产性生物资产明细表!$F:$F),2)</f>
        <v>0</v>
      </c>
      <c r="F28" s="293">
        <f t="shared" si="2"/>
        <v>0</v>
      </c>
    </row>
    <row r="29" spans="1:6" ht="14.4">
      <c r="A29" s="294" t="s">
        <v>459</v>
      </c>
      <c r="B29" s="293">
        <f>ROUND(B22+B23-B26,2)</f>
        <v>0</v>
      </c>
      <c r="C29" s="293">
        <f>ROUND(C22+C23-C26,2)</f>
        <v>0</v>
      </c>
      <c r="D29" s="293">
        <f>ROUND(D22+D23-D26,2)</f>
        <v>0</v>
      </c>
      <c r="E29" s="293">
        <f>ROUND(E22+E23-E26,2)</f>
        <v>0</v>
      </c>
      <c r="F29" s="293">
        <f t="shared" si="2"/>
        <v>0</v>
      </c>
    </row>
    <row r="30" spans="1:6" ht="14.4">
      <c r="A30" s="294" t="s">
        <v>462</v>
      </c>
      <c r="B30" s="293"/>
      <c r="C30" s="293"/>
      <c r="D30" s="293"/>
      <c r="E30" s="293"/>
      <c r="F30" s="293"/>
    </row>
    <row r="31" spans="1:6" ht="14.4">
      <c r="A31" s="294" t="s">
        <v>463</v>
      </c>
      <c r="B31" s="293">
        <f>ROUND(B11-B20-B29,2)</f>
        <v>0</v>
      </c>
      <c r="C31" s="293">
        <f>ROUND(C11-C20-C29,2)</f>
        <v>0</v>
      </c>
      <c r="D31" s="293">
        <f>ROUND(D11-D20-D29,2)</f>
        <v>0</v>
      </c>
      <c r="E31" s="293">
        <f>ROUND(E11-E20-E29,2)</f>
        <v>0</v>
      </c>
      <c r="F31" s="293">
        <f>ROUND(SUM(B31:E31),2)</f>
        <v>0</v>
      </c>
    </row>
    <row r="32" spans="1:6" ht="14.4">
      <c r="A32" s="294" t="s">
        <v>464</v>
      </c>
      <c r="B32" s="136">
        <f>ROUND(B3-B13-B22,2)</f>
        <v>0</v>
      </c>
      <c r="C32" s="136">
        <f>ROUND(C3-C13-C22,2)</f>
        <v>0</v>
      </c>
      <c r="D32" s="136">
        <f>ROUND(D3-D13-D22,2)</f>
        <v>0</v>
      </c>
      <c r="E32" s="136">
        <f>ROUND(E3-E13-E22,2)</f>
        <v>0</v>
      </c>
      <c r="F32" s="293">
        <f>ROUND(SUM(B32:E32),2)</f>
        <v>0</v>
      </c>
    </row>
    <row r="33" spans="6:6" ht="14.4">
      <c r="F33" s="293"/>
    </row>
    <row r="34" spans="6:6" ht="14.4">
      <c r="F34" s="293"/>
    </row>
  </sheetData>
  <phoneticPr fontId="1" type="noConversion"/>
  <pageMargins left="0.7" right="0.7" top="0.75" bottom="0.75" header="0.3" footer="0.3"/>
  <pageSetup paperSize="9" orientation="portrait" verticalDpi="0" r:id="rId1"/>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sheetPr codeName="Sheet220"/>
  <dimension ref="A1:I119"/>
  <sheetViews>
    <sheetView workbookViewId="0">
      <selection activeCell="A11" sqref="A11"/>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1976</v>
      </c>
      <c r="B1" s="311" t="s">
        <v>1977</v>
      </c>
      <c r="C1" s="261" t="s">
        <v>2443</v>
      </c>
      <c r="D1" s="261" t="s">
        <v>2475</v>
      </c>
      <c r="E1" s="261" t="s">
        <v>2476</v>
      </c>
      <c r="F1" s="261" t="s">
        <v>2478</v>
      </c>
      <c r="G1" s="261" t="s">
        <v>2480</v>
      </c>
      <c r="H1" s="263" t="s">
        <v>2481</v>
      </c>
      <c r="I1" s="261" t="s">
        <v>3385</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B44" s="276"/>
      <c r="E44" s="276"/>
      <c r="G44" t="str">
        <f t="shared" si="0"/>
        <v/>
      </c>
      <c r="I44" t="str">
        <f t="shared" si="2"/>
        <v/>
      </c>
    </row>
    <row r="45" spans="1:9">
      <c r="A45" s="229" t="str">
        <f>IF(F45&gt;0,基础信息!$B$1,"")</f>
        <v/>
      </c>
      <c r="B45" s="276"/>
      <c r="E45" s="276"/>
      <c r="G45" t="str">
        <f t="shared" si="0"/>
        <v/>
      </c>
      <c r="I45" t="str">
        <f t="shared" si="2"/>
        <v/>
      </c>
    </row>
    <row r="46" spans="1:9">
      <c r="A46" s="229" t="str">
        <f>IF(F46&gt;0,基础信息!$B$1,"")</f>
        <v/>
      </c>
      <c r="B46" s="276"/>
      <c r="E46" s="276"/>
      <c r="G46" t="str">
        <f t="shared" si="0"/>
        <v/>
      </c>
      <c r="I46" t="str">
        <f t="shared" si="2"/>
        <v/>
      </c>
    </row>
    <row r="47" spans="1:9">
      <c r="A47" s="229" t="str">
        <f>IF(F47&gt;0,基础信息!$B$1,"")</f>
        <v/>
      </c>
      <c r="B47" s="276"/>
      <c r="E47" s="276"/>
      <c r="G47" t="str">
        <f t="shared" si="0"/>
        <v/>
      </c>
      <c r="I47" t="str">
        <f t="shared" si="2"/>
        <v/>
      </c>
    </row>
    <row r="48" spans="1:9">
      <c r="A48" s="229" t="str">
        <f>IF(F48&gt;0,基础信息!$B$1,"")</f>
        <v/>
      </c>
      <c r="B48" s="276"/>
      <c r="E48" s="276"/>
      <c r="G48" t="str">
        <f t="shared" si="0"/>
        <v/>
      </c>
      <c r="I48" t="str">
        <f t="shared" si="2"/>
        <v/>
      </c>
    </row>
    <row r="49" spans="1:9">
      <c r="A49" s="229" t="str">
        <f>IF(F49&gt;0,基础信息!$B$1,"")</f>
        <v/>
      </c>
      <c r="B49" s="276"/>
      <c r="E49" s="276"/>
      <c r="G49" t="str">
        <f t="shared" si="0"/>
        <v/>
      </c>
      <c r="I49" t="str">
        <f t="shared" si="2"/>
        <v/>
      </c>
    </row>
    <row r="50" spans="1:9">
      <c r="A50" s="229" t="str">
        <f>IF(F50&gt;0,基础信息!$B$1,"")</f>
        <v/>
      </c>
      <c r="B50" s="276"/>
      <c r="E50" s="276"/>
      <c r="G50" t="str">
        <f t="shared" si="0"/>
        <v/>
      </c>
      <c r="I50" t="str">
        <f t="shared" si="2"/>
        <v/>
      </c>
    </row>
    <row r="51" spans="1:9">
      <c r="A51" s="229" t="str">
        <f>IF(F51&gt;0,基础信息!$B$1,"")</f>
        <v/>
      </c>
      <c r="B51" s="276"/>
      <c r="E51" s="276"/>
      <c r="G51" t="str">
        <f t="shared" si="0"/>
        <v/>
      </c>
      <c r="I51" t="str">
        <f t="shared" si="2"/>
        <v/>
      </c>
    </row>
    <row r="52" spans="1:9">
      <c r="A52" s="229" t="str">
        <f>IF(F52&gt;0,基础信息!$B$1,"")</f>
        <v/>
      </c>
      <c r="B52" s="276"/>
      <c r="E52" s="276"/>
      <c r="G52" t="str">
        <f t="shared" si="0"/>
        <v/>
      </c>
      <c r="I52" t="str">
        <f t="shared" si="2"/>
        <v/>
      </c>
    </row>
    <row r="53" spans="1:9">
      <c r="A53" s="229" t="str">
        <f>IF(F53&gt;0,基础信息!$B$1,"")</f>
        <v/>
      </c>
      <c r="B53" s="276"/>
      <c r="E53" s="276"/>
      <c r="G53" t="str">
        <f t="shared" si="0"/>
        <v/>
      </c>
      <c r="I53" t="str">
        <f t="shared" si="2"/>
        <v/>
      </c>
    </row>
    <row r="54" spans="1:9">
      <c r="A54" s="229" t="str">
        <f>IF(F54&gt;0,基础信息!$B$1,"")</f>
        <v/>
      </c>
      <c r="B54" s="276"/>
      <c r="E54" s="276"/>
      <c r="G54" t="str">
        <f t="shared" si="0"/>
        <v/>
      </c>
      <c r="I54" t="str">
        <f t="shared" si="2"/>
        <v/>
      </c>
    </row>
    <row r="55" spans="1:9">
      <c r="A55" s="229" t="str">
        <f>IF(F55&gt;0,基础信息!$B$1,"")</f>
        <v/>
      </c>
      <c r="B55" s="276"/>
      <c r="E55" s="276"/>
      <c r="G55" t="str">
        <f t="shared" si="0"/>
        <v/>
      </c>
      <c r="I55" t="str">
        <f t="shared" si="2"/>
        <v/>
      </c>
    </row>
    <row r="56" spans="1:9">
      <c r="A56" s="229" t="str">
        <f>IF(F56&gt;0,基础信息!$B$1,"")</f>
        <v/>
      </c>
      <c r="B56" s="276"/>
      <c r="E56" s="276"/>
      <c r="G56" t="str">
        <f t="shared" si="0"/>
        <v/>
      </c>
      <c r="I56" t="str">
        <f t="shared" si="2"/>
        <v/>
      </c>
    </row>
    <row r="57" spans="1:9">
      <c r="A57" s="229" t="str">
        <f>IF(F57&gt;0,基础信息!$B$1,"")</f>
        <v/>
      </c>
      <c r="B57" s="276"/>
      <c r="E57" s="276"/>
      <c r="G57" t="str">
        <f t="shared" si="0"/>
        <v/>
      </c>
      <c r="I57" t="str">
        <f t="shared" si="2"/>
        <v/>
      </c>
    </row>
    <row r="58" spans="1:9">
      <c r="A58" s="229" t="str">
        <f>IF(F58&gt;0,基础信息!$B$1,"")</f>
        <v/>
      </c>
      <c r="B58" s="276"/>
      <c r="E58" s="276"/>
      <c r="G58" t="str">
        <f t="shared" si="0"/>
        <v/>
      </c>
      <c r="I58" t="str">
        <f t="shared" si="2"/>
        <v/>
      </c>
    </row>
    <row r="59" spans="1:9">
      <c r="A59" s="229" t="str">
        <f>IF(F59&gt;0,基础信息!$B$1,"")</f>
        <v/>
      </c>
      <c r="B59" s="276"/>
      <c r="E59" s="276"/>
      <c r="G59" t="str">
        <f t="shared" si="0"/>
        <v/>
      </c>
      <c r="I59" t="str">
        <f t="shared" si="2"/>
        <v/>
      </c>
    </row>
    <row r="60" spans="1:9">
      <c r="A60" s="229" t="str">
        <f>IF(F60&gt;0,基础信息!$B$1,"")</f>
        <v/>
      </c>
      <c r="B60" s="276"/>
      <c r="E60" s="276"/>
      <c r="G60" t="str">
        <f t="shared" si="0"/>
        <v/>
      </c>
      <c r="I60" t="str">
        <f t="shared" si="2"/>
        <v/>
      </c>
    </row>
    <row r="61" spans="1:9">
      <c r="A61" s="229" t="str">
        <f>IF(F61&gt;0,基础信息!$B$1,"")</f>
        <v/>
      </c>
      <c r="B61" s="276"/>
      <c r="E61" s="276"/>
      <c r="G61" t="str">
        <f t="shared" si="0"/>
        <v/>
      </c>
      <c r="I61" t="str">
        <f t="shared" si="2"/>
        <v/>
      </c>
    </row>
    <row r="62" spans="1:9">
      <c r="A62" s="229" t="str">
        <f>IF(F62&gt;0,基础信息!$B$1,"")</f>
        <v/>
      </c>
      <c r="B62" s="276"/>
      <c r="E62" s="276"/>
      <c r="G62" t="str">
        <f t="shared" si="0"/>
        <v/>
      </c>
      <c r="I62" t="str">
        <f t="shared" si="2"/>
        <v/>
      </c>
    </row>
    <row r="63" spans="1:9">
      <c r="A63" s="229" t="str">
        <f>IF(F63&gt;0,基础信息!$B$1,"")</f>
        <v/>
      </c>
      <c r="B63" s="276"/>
      <c r="E63" s="276"/>
      <c r="G63" t="str">
        <f t="shared" si="0"/>
        <v/>
      </c>
      <c r="I63" t="str">
        <f t="shared" si="2"/>
        <v/>
      </c>
    </row>
    <row r="64" spans="1:9">
      <c r="A64" s="229" t="str">
        <f>IF(F64&gt;0,基础信息!$B$1,"")</f>
        <v/>
      </c>
      <c r="B64" s="276"/>
      <c r="E64" s="276"/>
      <c r="G64" t="str">
        <f t="shared" si="0"/>
        <v/>
      </c>
      <c r="I64" t="str">
        <f t="shared" si="2"/>
        <v/>
      </c>
    </row>
    <row r="65" spans="1:9">
      <c r="A65" s="229" t="str">
        <f>IF(F65&gt;0,基础信息!$B$1,"")</f>
        <v/>
      </c>
      <c r="B65" s="276"/>
      <c r="E65" s="276"/>
      <c r="G65" t="str">
        <f t="shared" si="0"/>
        <v/>
      </c>
      <c r="I65" t="str">
        <f t="shared" si="2"/>
        <v/>
      </c>
    </row>
    <row r="66" spans="1:9">
      <c r="A66" s="229" t="str">
        <f>IF(F66&gt;0,基础信息!$B$1,"")</f>
        <v/>
      </c>
      <c r="B66" s="276"/>
      <c r="E66" s="276"/>
      <c r="G66" t="str">
        <f t="shared" si="0"/>
        <v/>
      </c>
      <c r="I66" t="str">
        <f t="shared" si="2"/>
        <v/>
      </c>
    </row>
    <row r="67" spans="1:9">
      <c r="A67" s="229" t="str">
        <f>IF(F67&gt;0,基础信息!$B$1,"")</f>
        <v/>
      </c>
      <c r="B67" s="276"/>
      <c r="E67" s="276"/>
      <c r="G67" t="str">
        <f t="shared" ref="G67:G88" si="3">B67&amp;C67&amp;D67</f>
        <v/>
      </c>
      <c r="I67" t="str">
        <f t="shared" ref="I67:I119" si="4">C67&amp;D67&amp;E67</f>
        <v/>
      </c>
    </row>
    <row r="68" spans="1:9">
      <c r="A68" s="229" t="str">
        <f>IF(F68&gt;0,基础信息!$B$1,"")</f>
        <v/>
      </c>
      <c r="B68" s="276"/>
      <c r="E68" s="276"/>
      <c r="G68" t="str">
        <f t="shared" si="3"/>
        <v/>
      </c>
      <c r="I68" t="str">
        <f t="shared" si="4"/>
        <v/>
      </c>
    </row>
    <row r="69" spans="1:9">
      <c r="A69" s="229" t="str">
        <f>IF(F69&gt;0,基础信息!$B$1,"")</f>
        <v/>
      </c>
      <c r="B69" s="276"/>
      <c r="E69" s="276"/>
      <c r="G69" t="str">
        <f t="shared" si="3"/>
        <v/>
      </c>
      <c r="I69" t="str">
        <f t="shared" si="4"/>
        <v/>
      </c>
    </row>
    <row r="70" spans="1:9">
      <c r="A70" s="229" t="str">
        <f>IF(F70&gt;0,基础信息!$B$1,"")</f>
        <v/>
      </c>
      <c r="B70" s="276"/>
      <c r="E70" s="276"/>
      <c r="G70" t="str">
        <f t="shared" si="3"/>
        <v/>
      </c>
      <c r="I70" t="str">
        <f t="shared" si="4"/>
        <v/>
      </c>
    </row>
    <row r="71" spans="1:9">
      <c r="A71" s="229" t="str">
        <f>IF(F71&gt;0,基础信息!$B$1,"")</f>
        <v/>
      </c>
      <c r="B71" s="276"/>
      <c r="E71" s="276"/>
      <c r="G71" t="str">
        <f t="shared" si="3"/>
        <v/>
      </c>
      <c r="I71" t="str">
        <f t="shared" si="4"/>
        <v/>
      </c>
    </row>
    <row r="72" spans="1:9">
      <c r="A72" s="229" t="str">
        <f>IF(F72&gt;0,基础信息!$B$1,"")</f>
        <v/>
      </c>
      <c r="B72" s="276"/>
      <c r="E72" s="276"/>
      <c r="G72" t="str">
        <f t="shared" si="3"/>
        <v/>
      </c>
      <c r="I72" t="str">
        <f t="shared" si="4"/>
        <v/>
      </c>
    </row>
    <row r="73" spans="1:9">
      <c r="A73" s="229" t="str">
        <f>IF(F73&gt;0,基础信息!$B$1,"")</f>
        <v/>
      </c>
      <c r="B73" s="276"/>
      <c r="E73" s="276"/>
      <c r="G73" t="str">
        <f t="shared" si="3"/>
        <v/>
      </c>
      <c r="I73" t="str">
        <f t="shared" si="4"/>
        <v/>
      </c>
    </row>
    <row r="74" spans="1:9">
      <c r="A74" s="229" t="str">
        <f>IF(F74&gt;0,基础信息!$B$1,"")</f>
        <v/>
      </c>
      <c r="B74" s="276"/>
      <c r="E74" s="276"/>
      <c r="G74" t="str">
        <f t="shared" si="3"/>
        <v/>
      </c>
      <c r="I74" t="str">
        <f t="shared" si="4"/>
        <v/>
      </c>
    </row>
    <row r="75" spans="1:9">
      <c r="A75" s="229" t="str">
        <f>IF(F75&gt;0,基础信息!$B$1,"")</f>
        <v/>
      </c>
      <c r="B75" s="276"/>
      <c r="E75" s="276"/>
      <c r="G75" t="str">
        <f t="shared" si="3"/>
        <v/>
      </c>
      <c r="I75" t="str">
        <f t="shared" si="4"/>
        <v/>
      </c>
    </row>
    <row r="76" spans="1:9">
      <c r="A76" s="229" t="str">
        <f>IF(F76&gt;0,基础信息!$B$1,"")</f>
        <v/>
      </c>
      <c r="B76" s="276"/>
      <c r="E76" s="276"/>
      <c r="G76" t="str">
        <f t="shared" si="3"/>
        <v/>
      </c>
      <c r="I76" t="str">
        <f t="shared" si="4"/>
        <v/>
      </c>
    </row>
    <row r="77" spans="1:9">
      <c r="A77" s="229" t="str">
        <f>IF(F77&gt;0,基础信息!$B$1,"")</f>
        <v/>
      </c>
      <c r="B77" s="276"/>
      <c r="E77" s="276"/>
      <c r="G77" t="str">
        <f t="shared" si="3"/>
        <v/>
      </c>
      <c r="I77" t="str">
        <f t="shared" si="4"/>
        <v/>
      </c>
    </row>
    <row r="78" spans="1:9">
      <c r="A78" s="229" t="str">
        <f>IF(F78&gt;0,基础信息!$B$1,"")</f>
        <v/>
      </c>
      <c r="B78" s="276"/>
      <c r="E78" s="276"/>
      <c r="G78" t="str">
        <f t="shared" si="3"/>
        <v/>
      </c>
      <c r="I78" t="str">
        <f t="shared" si="4"/>
        <v/>
      </c>
    </row>
    <row r="79" spans="1:9">
      <c r="A79" s="229" t="str">
        <f>IF(F79&gt;0,基础信息!$B$1,"")</f>
        <v/>
      </c>
      <c r="B79" s="276"/>
      <c r="E79" s="276"/>
      <c r="G79" t="str">
        <f t="shared" si="3"/>
        <v/>
      </c>
      <c r="I79" t="str">
        <f t="shared" si="4"/>
        <v/>
      </c>
    </row>
    <row r="80" spans="1:9">
      <c r="A80" s="229" t="str">
        <f>IF(F80&gt;0,基础信息!$B$1,"")</f>
        <v/>
      </c>
      <c r="B80" s="276"/>
      <c r="E80" s="276"/>
      <c r="G80" t="str">
        <f t="shared" si="3"/>
        <v/>
      </c>
      <c r="I80" t="str">
        <f t="shared" si="4"/>
        <v/>
      </c>
    </row>
    <row r="81" spans="1:9">
      <c r="A81" s="229" t="str">
        <f>IF(F81&gt;0,基础信息!$B$1,"")</f>
        <v/>
      </c>
      <c r="B81" s="276"/>
      <c r="E81" s="276"/>
      <c r="G81" t="str">
        <f t="shared" si="3"/>
        <v/>
      </c>
      <c r="I81" t="str">
        <f t="shared" si="4"/>
        <v/>
      </c>
    </row>
    <row r="82" spans="1:9">
      <c r="A82" s="229" t="str">
        <f>IF(F82&gt;0,基础信息!$B$1,"")</f>
        <v/>
      </c>
      <c r="B82" s="276"/>
      <c r="E82" s="276"/>
      <c r="G82" t="str">
        <f t="shared" si="3"/>
        <v/>
      </c>
      <c r="I82" t="str">
        <f t="shared" si="4"/>
        <v/>
      </c>
    </row>
    <row r="83" spans="1:9">
      <c r="A83" s="229" t="str">
        <f>IF(F83&gt;0,基础信息!$B$1,"")</f>
        <v/>
      </c>
      <c r="B83" s="276"/>
      <c r="E83" s="276"/>
      <c r="G83" t="str">
        <f t="shared" si="3"/>
        <v/>
      </c>
      <c r="I83" t="str">
        <f t="shared" si="4"/>
        <v/>
      </c>
    </row>
    <row r="84" spans="1:9">
      <c r="A84" s="229" t="str">
        <f>IF(F84&gt;0,基础信息!$B$1,"")</f>
        <v/>
      </c>
      <c r="B84" s="276"/>
      <c r="E84" s="276"/>
      <c r="G84" t="str">
        <f t="shared" si="3"/>
        <v/>
      </c>
      <c r="I84" t="str">
        <f t="shared" si="4"/>
        <v/>
      </c>
    </row>
    <row r="85" spans="1:9">
      <c r="A85" s="229" t="str">
        <f>IF(F85&gt;0,基础信息!$B$1,"")</f>
        <v/>
      </c>
      <c r="B85" s="276"/>
      <c r="E85" s="276"/>
      <c r="G85" t="str">
        <f t="shared" si="3"/>
        <v/>
      </c>
      <c r="I85" t="str">
        <f t="shared" si="4"/>
        <v/>
      </c>
    </row>
    <row r="86" spans="1:9">
      <c r="A86" s="229" t="str">
        <f>IF(F86&gt;0,基础信息!$B$1,"")</f>
        <v/>
      </c>
      <c r="B86" s="276"/>
      <c r="E86" s="276"/>
      <c r="G86" t="str">
        <f t="shared" si="3"/>
        <v/>
      </c>
      <c r="I86" t="str">
        <f t="shared" si="4"/>
        <v/>
      </c>
    </row>
    <row r="87" spans="1:9">
      <c r="A87" s="229" t="str">
        <f>IF(F87&gt;0,基础信息!$B$1,"")</f>
        <v/>
      </c>
      <c r="B87" s="276"/>
      <c r="E87" s="276"/>
      <c r="G87" t="str">
        <f t="shared" si="3"/>
        <v/>
      </c>
      <c r="I87" t="str">
        <f t="shared" si="4"/>
        <v/>
      </c>
    </row>
    <row r="88" spans="1:9">
      <c r="A88" s="229" t="str">
        <f>IF(F88&gt;0,基础信息!$B$1,"")</f>
        <v/>
      </c>
      <c r="B88" s="276"/>
      <c r="E88" s="276"/>
      <c r="G88" t="str">
        <f t="shared" si="3"/>
        <v/>
      </c>
      <c r="I88" t="str">
        <f t="shared" si="4"/>
        <v/>
      </c>
    </row>
    <row r="89" spans="1:9">
      <c r="A89" s="229" t="str">
        <f>IF(F89&gt;0,基础信息!$B$1,"")</f>
        <v/>
      </c>
      <c r="B89" s="276"/>
      <c r="E89" s="276"/>
      <c r="I89" t="str">
        <f t="shared" si="4"/>
        <v/>
      </c>
    </row>
    <row r="90" spans="1:9">
      <c r="A90" s="229" t="str">
        <f>IF(F90&gt;0,基础信息!$B$1,"")</f>
        <v/>
      </c>
      <c r="B90" s="276"/>
      <c r="E90" s="276"/>
      <c r="I90" t="str">
        <f t="shared" si="4"/>
        <v/>
      </c>
    </row>
    <row r="91" spans="1:9">
      <c r="A91" s="229" t="str">
        <f>IF(F91&gt;0,基础信息!$B$1,"")</f>
        <v/>
      </c>
      <c r="B91" s="276"/>
      <c r="E91" s="276"/>
      <c r="I91" t="str">
        <f t="shared" si="4"/>
        <v/>
      </c>
    </row>
    <row r="92" spans="1:9">
      <c r="A92" s="229" t="str">
        <f>IF(F92&gt;0,基础信息!$B$1,"")</f>
        <v/>
      </c>
      <c r="B92" s="276"/>
      <c r="E92" s="276"/>
      <c r="I92" t="str">
        <f t="shared" si="4"/>
        <v/>
      </c>
    </row>
    <row r="93" spans="1:9">
      <c r="A93" s="229" t="str">
        <f>IF(F93&gt;0,基础信息!$B$1,"")</f>
        <v/>
      </c>
      <c r="B93" s="276"/>
      <c r="E93" s="276"/>
      <c r="I93" t="str">
        <f t="shared" si="4"/>
        <v/>
      </c>
    </row>
    <row r="94" spans="1:9">
      <c r="A94" s="229" t="str">
        <f>IF(F94&gt;0,基础信息!$B$1,"")</f>
        <v/>
      </c>
      <c r="B94" s="276"/>
      <c r="E94" s="276"/>
      <c r="I94" t="str">
        <f t="shared" si="4"/>
        <v/>
      </c>
    </row>
    <row r="95" spans="1:9">
      <c r="A95" s="229" t="str">
        <f>IF(F95&gt;0,基础信息!$B$1,"")</f>
        <v/>
      </c>
      <c r="B95" s="276"/>
      <c r="E95" s="276"/>
      <c r="I95" t="str">
        <f t="shared" si="4"/>
        <v/>
      </c>
    </row>
    <row r="96" spans="1:9">
      <c r="A96" s="229" t="str">
        <f>IF(F96&gt;0,基础信息!$B$1,"")</f>
        <v/>
      </c>
      <c r="B96" s="276"/>
      <c r="E96" s="276"/>
      <c r="I96" t="str">
        <f t="shared" si="4"/>
        <v/>
      </c>
    </row>
    <row r="97" spans="1:9">
      <c r="A97" s="229" t="str">
        <f>IF(F97&gt;0,基础信息!$B$1,"")</f>
        <v/>
      </c>
      <c r="B97" s="276"/>
      <c r="E97" s="276"/>
      <c r="I97" t="str">
        <f t="shared" si="4"/>
        <v/>
      </c>
    </row>
    <row r="98" spans="1:9">
      <c r="A98" s="229" t="str">
        <f>IF(F98&gt;0,基础信息!$B$1,"")</f>
        <v/>
      </c>
      <c r="B98" s="276"/>
      <c r="E98" s="276"/>
      <c r="I98" t="str">
        <f t="shared" si="4"/>
        <v/>
      </c>
    </row>
    <row r="99" spans="1:9">
      <c r="A99" s="229" t="str">
        <f>IF(F99&gt;0,基础信息!$B$1,"")</f>
        <v/>
      </c>
      <c r="B99" s="276"/>
      <c r="E99" s="276"/>
      <c r="I99" t="str">
        <f t="shared" si="4"/>
        <v/>
      </c>
    </row>
    <row r="100" spans="1:9">
      <c r="A100" s="229" t="str">
        <f>IF(F100&gt;0,基础信息!$B$1,"")</f>
        <v/>
      </c>
      <c r="B100" s="276"/>
      <c r="E100" s="276"/>
      <c r="I100" t="str">
        <f t="shared" si="4"/>
        <v/>
      </c>
    </row>
    <row r="101" spans="1:9">
      <c r="A101" s="229" t="str">
        <f>IF(F101&gt;0,基础信息!$B$1,"")</f>
        <v/>
      </c>
      <c r="B101" s="276"/>
      <c r="E101" s="276"/>
      <c r="I101" t="str">
        <f t="shared" si="4"/>
        <v/>
      </c>
    </row>
    <row r="102" spans="1:9">
      <c r="A102" s="229" t="str">
        <f>IF(F102&gt;0,基础信息!$B$1,"")</f>
        <v/>
      </c>
      <c r="B102" s="276"/>
      <c r="E102" s="276"/>
      <c r="I102" t="str">
        <f t="shared" si="4"/>
        <v/>
      </c>
    </row>
    <row r="103" spans="1:9">
      <c r="A103" s="229" t="str">
        <f>IF(F103&gt;0,基础信息!$B$1,"")</f>
        <v/>
      </c>
      <c r="B103" s="276"/>
      <c r="E103" s="276"/>
      <c r="I103" t="str">
        <f t="shared" si="4"/>
        <v/>
      </c>
    </row>
    <row r="104" spans="1:9">
      <c r="A104" s="229" t="str">
        <f>IF(F104&gt;0,基础信息!$B$1,"")</f>
        <v/>
      </c>
      <c r="B104" s="276"/>
      <c r="E104" s="276"/>
      <c r="I104" t="str">
        <f t="shared" si="4"/>
        <v/>
      </c>
    </row>
    <row r="105" spans="1:9">
      <c r="A105" s="229" t="str">
        <f>IF(F105&gt;0,基础信息!$B$1,"")</f>
        <v/>
      </c>
      <c r="B105" s="276"/>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分类表!$22:$22</xm:f>
          </x14:formula1>
          <xm:sqref>C15:C23</xm:sqref>
        </x14:dataValidation>
        <x14:dataValidation type="list" allowBlank="1" showInputMessage="1" showErrorMessage="1" xr:uid="{2A4242C7-EE8A-450E-B24B-31235E4C51AE}">
          <x14:formula1>
            <xm:f>分类表!$73:$73</xm:f>
          </x14:formula1>
          <xm:sqref>D2:D34</xm:sqref>
        </x14:dataValidation>
        <x14:dataValidation type="list" allowBlank="1" showInputMessage="1" showErrorMessage="1" xr:uid="{FD8BD588-DF99-46C8-A45A-E5E156C4ACA3}">
          <x14:formula1>
            <xm:f>分类表!$24:$24</xm:f>
          </x14:formula1>
          <xm:sqref>C2:C30</xm:sqref>
        </x14:dataValidation>
        <x14:dataValidation type="list" allowBlank="1" showInputMessage="1" showErrorMessage="1" xr:uid="{438780C6-2436-4B65-AA4E-5B205364B254}">
          <x14:formula1>
            <xm:f>分类表!$27:$27</xm:f>
          </x14:formula1>
          <xm:sqref>B2:B105</xm:sqref>
        </x14:dataValidation>
        <x14:dataValidation type="list" allowBlank="1" showInputMessage="1" showErrorMessage="1" xr:uid="{9769F9B3-6C2B-4D3E-91EC-85C782D81FF9}">
          <x14:formula1>
            <xm:f>分类表!$77:$77</xm:f>
          </x14:formula1>
          <xm:sqref>E2:E109</xm:sqref>
        </x14:dataValidation>
      </x14:dataValidations>
    </ext>
  </extLst>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codeName="Sheet221">
    <tabColor rgb="FFFFC000"/>
  </sheetPr>
  <dimension ref="A1:E32"/>
  <sheetViews>
    <sheetView workbookViewId="0">
      <selection activeCell="H16" sqref="H16"/>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75" t="s">
        <v>28</v>
      </c>
      <c r="B1" s="531" t="s">
        <v>3089</v>
      </c>
      <c r="C1" s="531" t="s">
        <v>3090</v>
      </c>
      <c r="D1" s="531" t="s">
        <v>3091</v>
      </c>
      <c r="E1" s="531" t="s">
        <v>204</v>
      </c>
    </row>
    <row r="2" spans="1:5" ht="14.4">
      <c r="A2" s="150" t="s">
        <v>424</v>
      </c>
      <c r="B2" s="293"/>
      <c r="C2" s="293"/>
      <c r="D2" s="293"/>
      <c r="E2" s="293"/>
    </row>
    <row r="3" spans="1:5" ht="14.4">
      <c r="A3" s="294" t="s">
        <v>456</v>
      </c>
      <c r="B3" s="293">
        <f>ROUND(SUMIF(油气资产明细表!$H:$H,B$1&amp;"原值期初数",油气资产明细表!$F:$F),2)</f>
        <v>0</v>
      </c>
      <c r="C3" s="293">
        <f>ROUND(SUMIF(油气资产明细表!$H:$H,C$1&amp;"原值期初数",油气资产明细表!$F:$F),2)</f>
        <v>0</v>
      </c>
      <c r="D3" s="293">
        <f>ROUND(SUMIF(油气资产明细表!$H:$H,D$1&amp;"原值期初数",油气资产明细表!$F:$F),2)</f>
        <v>0</v>
      </c>
      <c r="E3" s="293">
        <f t="shared" ref="E3:E11" si="0">ROUND(SUM(B3:D3),2)</f>
        <v>0</v>
      </c>
    </row>
    <row r="4" spans="1:5" ht="14.4">
      <c r="A4" s="294" t="s">
        <v>457</v>
      </c>
      <c r="B4" s="293">
        <f>ROUND(SUM(B5:B8),2)</f>
        <v>0</v>
      </c>
      <c r="C4" s="293">
        <f>ROUND(SUM(C5:C8),2)</f>
        <v>0</v>
      </c>
      <c r="D4" s="293">
        <f>ROUND(SUM(D5:D8),2)</f>
        <v>0</v>
      </c>
      <c r="E4" s="293">
        <f t="shared" si="0"/>
        <v>0</v>
      </c>
    </row>
    <row r="5" spans="1:5" ht="14.4">
      <c r="A5" s="294" t="s">
        <v>3759</v>
      </c>
      <c r="B5" s="293">
        <f>ROUND(SUMIF(油气资产明细表!$H:$H,B$1&amp;"原值本期增加"&amp;REPLACE($A5,1,3,""),油气资产明细表!$F:$F),2)</f>
        <v>0</v>
      </c>
      <c r="C5" s="293">
        <f>ROUND(SUMIF(油气资产明细表!$H:$H,C$1&amp;"原值本期增加"&amp;REPLACE($A5,1,3,""),油气资产明细表!$F:$F),2)</f>
        <v>0</v>
      </c>
      <c r="D5" s="293">
        <f>ROUND(SUMIF(油气资产明细表!$H:$H,D$1&amp;"原值本期增加"&amp;REPLACE($A5,1,3,""),油气资产明细表!$F:$F),2)</f>
        <v>0</v>
      </c>
      <c r="E5" s="293">
        <f t="shared" si="0"/>
        <v>0</v>
      </c>
    </row>
    <row r="6" spans="1:5" ht="14.4">
      <c r="A6" s="294" t="s">
        <v>3782</v>
      </c>
      <c r="B6" s="293">
        <f>ROUND(SUMIF(油气资产明细表!$H:$H,B$1&amp;"原值本期增加"&amp;REPLACE($A6,1,3,""),油气资产明细表!$F:$F),2)</f>
        <v>0</v>
      </c>
      <c r="C6" s="293">
        <f>ROUND(SUMIF(油气资产明细表!$H:$H,C$1&amp;"原值本期增加"&amp;REPLACE($A6,1,3,""),油气资产明细表!$F:$F),2)</f>
        <v>0</v>
      </c>
      <c r="D6" s="293">
        <f>ROUND(SUMIF(油气资产明细表!$H:$H,D$1&amp;"原值本期增加"&amp;REPLACE($A6,1,3,""),油气资产明细表!$F:$F),2)</f>
        <v>0</v>
      </c>
      <c r="E6" s="293">
        <f t="shared" si="0"/>
        <v>0</v>
      </c>
    </row>
    <row r="7" spans="1:5" ht="14.4">
      <c r="A7" s="294" t="s">
        <v>3762</v>
      </c>
      <c r="B7" s="293">
        <f>ROUND(SUMIF(油气资产明细表!$H:$H,B$1&amp;"原值本期增加"&amp;REPLACE($A7,1,3,""),油气资产明细表!$F:$F),2)</f>
        <v>0</v>
      </c>
      <c r="C7" s="293">
        <f>ROUND(SUMIF(油气资产明细表!$H:$H,C$1&amp;"原值本期增加"&amp;REPLACE($A7,1,3,""),油气资产明细表!$F:$F),2)</f>
        <v>0</v>
      </c>
      <c r="D7" s="293">
        <f>ROUND(SUMIF(油气资产明细表!$H:$H,D$1&amp;"原值本期增加"&amp;REPLACE($A7,1,3,""),油气资产明细表!$F:$F),2)</f>
        <v>0</v>
      </c>
      <c r="E7" s="293">
        <f t="shared" si="0"/>
        <v>0</v>
      </c>
    </row>
    <row r="8" spans="1:5" ht="14.4">
      <c r="A8" s="294" t="s">
        <v>458</v>
      </c>
      <c r="B8" s="293">
        <f>ROUND(SUM(B9:B10),2)</f>
        <v>0</v>
      </c>
      <c r="C8" s="293">
        <f>ROUND(SUM(C9:C10),2)</f>
        <v>0</v>
      </c>
      <c r="D8" s="293">
        <f>ROUND(SUM(D9:D10),2)</f>
        <v>0</v>
      </c>
      <c r="E8" s="293">
        <f t="shared" si="0"/>
        <v>0</v>
      </c>
    </row>
    <row r="9" spans="1:5" ht="14.4">
      <c r="A9" s="294" t="s">
        <v>3763</v>
      </c>
      <c r="B9" s="293">
        <f>ROUND(SUMIF(油气资产明细表!$H:$H,B$1&amp;"原值本期减少"&amp;REPLACE($A9,1,3,""),油气资产明细表!$F:$F),2)</f>
        <v>0</v>
      </c>
      <c r="C9" s="293">
        <f>ROUND(SUMIF(油气资产明细表!$H:$H,C$1&amp;"原值本期减少"&amp;REPLACE($A9,1,3,""),油气资产明细表!$F:$F),2)</f>
        <v>0</v>
      </c>
      <c r="D9" s="293">
        <f>ROUND(SUMIF(油气资产明细表!$H:$H,D$1&amp;"原值本期减少"&amp;REPLACE($A9,1,3,""),油气资产明细表!$F:$F),2)</f>
        <v>0</v>
      </c>
      <c r="E9" s="293">
        <f t="shared" si="0"/>
        <v>0</v>
      </c>
    </row>
    <row r="10" spans="1:5" ht="14.4">
      <c r="A10" s="294" t="s">
        <v>3762</v>
      </c>
      <c r="B10" s="293">
        <f>ROUND(SUMIF(油气资产明细表!$H:$H,B$1&amp;"原值本期减少"&amp;REPLACE($A10,1,3,""),油气资产明细表!$F:$F),2)</f>
        <v>0</v>
      </c>
      <c r="C10" s="293">
        <f>ROUND(SUMIF(油气资产明细表!$H:$H,C$1&amp;"原值本期减少"&amp;REPLACE($A10,1,3,""),油气资产明细表!$F:$F),2)</f>
        <v>0</v>
      </c>
      <c r="D10" s="293">
        <f>ROUND(SUMIF(油气资产明细表!$H:$H,D$1&amp;"原值本期减少"&amp;REPLACE($A10,1,3,""),油气资产明细表!$F:$F),2)</f>
        <v>0</v>
      </c>
      <c r="E10" s="293">
        <f t="shared" si="0"/>
        <v>0</v>
      </c>
    </row>
    <row r="11" spans="1:5" ht="14.4">
      <c r="A11" s="294" t="s">
        <v>459</v>
      </c>
      <c r="B11" s="293">
        <f>ROUND(B2+B3-B8,2)</f>
        <v>0</v>
      </c>
      <c r="C11" s="293">
        <f>ROUND(C2+C3-C8,2)</f>
        <v>0</v>
      </c>
      <c r="D11" s="293">
        <f>ROUND(D2+D3-D8,2)</f>
        <v>0</v>
      </c>
      <c r="E11" s="293">
        <f t="shared" si="0"/>
        <v>0</v>
      </c>
    </row>
    <row r="12" spans="1:5" ht="14.4">
      <c r="A12" s="294" t="s">
        <v>460</v>
      </c>
      <c r="B12" s="293"/>
      <c r="C12" s="293"/>
      <c r="D12" s="293"/>
      <c r="E12" s="293"/>
    </row>
    <row r="13" spans="1:5" ht="14.4">
      <c r="A13" s="294" t="s">
        <v>456</v>
      </c>
      <c r="B13" s="293">
        <f>ROUND(SUMIF(油气资产明细表!$H:$H,B$1&amp;"累计折旧期初数",油气资产明细表!$F:$F),2)</f>
        <v>0</v>
      </c>
      <c r="C13" s="293">
        <f>ROUND(SUMIF(油气资产明细表!$H:$H,C$1&amp;"累计折旧期初数",油气资产明细表!$F:$F),2)</f>
        <v>0</v>
      </c>
      <c r="D13" s="293">
        <f>ROUND(SUMIF(油气资产明细表!$H:$H,D$1&amp;"累计折旧期初数",油气资产明细表!$F:$F),2)</f>
        <v>0</v>
      </c>
      <c r="E13" s="293">
        <f t="shared" ref="E13:E20" si="1">ROUND(SUM(B13:D13),2)</f>
        <v>0</v>
      </c>
    </row>
    <row r="14" spans="1:5" ht="14.4">
      <c r="A14" s="294" t="s">
        <v>457</v>
      </c>
      <c r="B14" s="293">
        <f>ROUND(SUM(B15:B16),2)</f>
        <v>0</v>
      </c>
      <c r="C14" s="293">
        <f>ROUND(SUM(C15:C16),2)</f>
        <v>0</v>
      </c>
      <c r="D14" s="293">
        <f>ROUND(SUM(D15:D16),2)</f>
        <v>0</v>
      </c>
      <c r="E14" s="293">
        <f t="shared" si="1"/>
        <v>0</v>
      </c>
    </row>
    <row r="15" spans="1:5" ht="14.4">
      <c r="A15" s="294" t="s">
        <v>3767</v>
      </c>
      <c r="B15" s="293">
        <f>ROUND(SUMIF(油气资产明细表!$H:$H,B$1&amp;"累计折旧本期增加"&amp;REPLACE($A15,1,3,""),油气资产明细表!$F:$F),2)</f>
        <v>0</v>
      </c>
      <c r="C15" s="293">
        <f>ROUND(SUMIF(油气资产明细表!$H:$H,C$1&amp;"累计折旧本期增加"&amp;REPLACE($A15,1,3,""),油气资产明细表!$F:$F),2)</f>
        <v>0</v>
      </c>
      <c r="D15" s="293">
        <f>ROUND(SUMIF(油气资产明细表!$H:$H,D$1&amp;"累计折旧本期增加"&amp;REPLACE($A15,1,3,""),油气资产明细表!$F:$F),2)</f>
        <v>0</v>
      </c>
      <c r="E15" s="293">
        <f t="shared" si="1"/>
        <v>0</v>
      </c>
    </row>
    <row r="16" spans="1:5" ht="14.4">
      <c r="A16" s="294" t="s">
        <v>3762</v>
      </c>
      <c r="B16" s="293">
        <f>ROUND(SUMIF(油气资产明细表!$H:$H,B$1&amp;"累计折旧本期增加"&amp;REPLACE($A16,1,3,""),油气资产明细表!$F:$F),2)</f>
        <v>0</v>
      </c>
      <c r="C16" s="293">
        <f>ROUND(SUMIF(油气资产明细表!$H:$H,C$1&amp;"累计折旧本期增加"&amp;REPLACE($A16,1,3,""),油气资产明细表!$F:$F),2)</f>
        <v>0</v>
      </c>
      <c r="D16" s="293">
        <f>ROUND(SUMIF(油气资产明细表!$H:$H,D$1&amp;"累计折旧本期增加"&amp;REPLACE($A16,1,3,""),油气资产明细表!$F:$F),2)</f>
        <v>0</v>
      </c>
      <c r="E16" s="293">
        <f t="shared" si="1"/>
        <v>0</v>
      </c>
    </row>
    <row r="17" spans="1:5" ht="14.4">
      <c r="A17" s="294" t="s">
        <v>458</v>
      </c>
      <c r="B17" s="293">
        <f>ROUND(SUM(B18:B19),2)</f>
        <v>0</v>
      </c>
      <c r="C17" s="293">
        <f>ROUND(SUM(C18:C19),2)</f>
        <v>0</v>
      </c>
      <c r="D17" s="293">
        <f>ROUND(SUM(D18:D19),2)</f>
        <v>0</v>
      </c>
      <c r="E17" s="293">
        <f t="shared" si="1"/>
        <v>0</v>
      </c>
    </row>
    <row r="18" spans="1:5" ht="14.4">
      <c r="A18" s="294" t="s">
        <v>3763</v>
      </c>
      <c r="B18" s="293">
        <f>ROUND(SUMIF(油气资产明细表!$H:$H,B$1&amp;"累计折旧本期减少"&amp;REPLACE($A18,1,3,""),油气资产明细表!$F:$F),2)</f>
        <v>0</v>
      </c>
      <c r="C18" s="293">
        <f>ROUND(SUMIF(油气资产明细表!$H:$H,C$1&amp;"累计折旧本期减少"&amp;REPLACE($A18,1,3,""),油气资产明细表!$F:$F),2)</f>
        <v>0</v>
      </c>
      <c r="D18" s="293">
        <f>ROUND(SUMIF(油气资产明细表!$H:$H,D$1&amp;"累计折旧本期减少"&amp;REPLACE($A18,1,3,""),油气资产明细表!$F:$F),2)</f>
        <v>0</v>
      </c>
      <c r="E18" s="293">
        <f t="shared" si="1"/>
        <v>0</v>
      </c>
    </row>
    <row r="19" spans="1:5" ht="14.4">
      <c r="A19" s="294" t="s">
        <v>3762</v>
      </c>
      <c r="B19" s="293">
        <f>ROUND(SUMIF(油气资产明细表!$H:$H,B$1&amp;"累计折旧本期减少"&amp;REPLACE($A19,1,3,""),油气资产明细表!$F:$F),2)</f>
        <v>0</v>
      </c>
      <c r="C19" s="293">
        <f>ROUND(SUMIF(油气资产明细表!$H:$H,C$1&amp;"累计折旧本期减少"&amp;REPLACE($A19,1,3,""),油气资产明细表!$F:$F),2)</f>
        <v>0</v>
      </c>
      <c r="D19" s="293">
        <f>ROUND(SUMIF(油气资产明细表!$H:$H,D$1&amp;"累计折旧本期减少"&amp;REPLACE($A19,1,3,""),油气资产明细表!$F:$F),2)</f>
        <v>0</v>
      </c>
      <c r="E19" s="293">
        <f t="shared" si="1"/>
        <v>0</v>
      </c>
    </row>
    <row r="20" spans="1:5" ht="14.4">
      <c r="A20" s="294" t="s">
        <v>459</v>
      </c>
      <c r="B20" s="293">
        <f>ROUND(B13+B14-B17,2)</f>
        <v>0</v>
      </c>
      <c r="C20" s="293">
        <f>ROUND(C13+C14-C17,2)</f>
        <v>0</v>
      </c>
      <c r="D20" s="293">
        <f>ROUND(D13+D14-D17,2)</f>
        <v>0</v>
      </c>
      <c r="E20" s="293">
        <f t="shared" si="1"/>
        <v>0</v>
      </c>
    </row>
    <row r="21" spans="1:5" ht="14.4">
      <c r="A21" s="294" t="s">
        <v>461</v>
      </c>
      <c r="B21" s="293"/>
      <c r="C21" s="293"/>
      <c r="D21" s="293"/>
      <c r="E21" s="293"/>
    </row>
    <row r="22" spans="1:5" ht="14.4">
      <c r="A22" s="294" t="s">
        <v>456</v>
      </c>
      <c r="B22" s="293">
        <f>ROUND(SUMIF(油气资产明细表!$H:$H,B$1&amp;"减值准备期初数",油气资产明细表!$F:$F),2)</f>
        <v>0</v>
      </c>
      <c r="C22" s="293">
        <f>ROUND(SUMIF(油气资产明细表!$H:$H,C$1&amp;"减值准备期初数",油气资产明细表!$F:$F),2)</f>
        <v>0</v>
      </c>
      <c r="D22" s="293">
        <f>ROUND(SUMIF(油气资产明细表!$H:$H,D$1&amp;"减值准备期初数",油气资产明细表!$F:$F),2)</f>
        <v>0</v>
      </c>
      <c r="E22" s="293">
        <f t="shared" ref="E22:E29" si="2">ROUND(SUM(B22:D22),2)</f>
        <v>0</v>
      </c>
    </row>
    <row r="23" spans="1:5" ht="14.4">
      <c r="A23" s="294" t="s">
        <v>457</v>
      </c>
      <c r="B23" s="293">
        <f>ROUND(SUM(B24:B25),2)</f>
        <v>0</v>
      </c>
      <c r="C23" s="293">
        <f>ROUND(SUM(C24:C25),2)</f>
        <v>0</v>
      </c>
      <c r="D23" s="293">
        <f>ROUND(SUM(D24:D25),2)</f>
        <v>0</v>
      </c>
      <c r="E23" s="293">
        <f t="shared" si="2"/>
        <v>0</v>
      </c>
    </row>
    <row r="24" spans="1:5" ht="14.4">
      <c r="A24" s="294" t="s">
        <v>3767</v>
      </c>
      <c r="B24" s="293">
        <f>ROUND(SUMIF(油气资产明细表!$H:$H,B$1&amp;"减值准备本期增加"&amp;REPLACE($A24,1,3,""),油气资产明细表!$F:$F),2)</f>
        <v>0</v>
      </c>
      <c r="C24" s="293">
        <f>ROUND(SUMIF(油气资产明细表!$H:$H,C$1&amp;"减值准备本期增加"&amp;REPLACE($A24,1,3,""),油气资产明细表!$F:$F),2)</f>
        <v>0</v>
      </c>
      <c r="D24" s="293">
        <f>ROUND(SUMIF(油气资产明细表!$H:$H,D$1&amp;"减值准备本期增加"&amp;REPLACE($A24,1,3,""),油气资产明细表!$F:$F),2)</f>
        <v>0</v>
      </c>
      <c r="E24" s="293">
        <f t="shared" si="2"/>
        <v>0</v>
      </c>
    </row>
    <row r="25" spans="1:5" ht="14.4">
      <c r="A25" s="294" t="s">
        <v>3762</v>
      </c>
      <c r="B25" s="293">
        <f>ROUND(SUMIF(油气资产明细表!$H:$H,B$1&amp;"减值准备本期增加"&amp;REPLACE($A25,1,3,""),油气资产明细表!$F:$F),2)</f>
        <v>0</v>
      </c>
      <c r="C25" s="293">
        <f>ROUND(SUMIF(油气资产明细表!$H:$H,C$1&amp;"减值准备本期增加"&amp;REPLACE($A25,1,3,""),油气资产明细表!$F:$F),2)</f>
        <v>0</v>
      </c>
      <c r="D25" s="293">
        <f>ROUND(SUMIF(油气资产明细表!$H:$H,D$1&amp;"减值准备本期增加"&amp;REPLACE($A25,1,3,""),油气资产明细表!$F:$F),2)</f>
        <v>0</v>
      </c>
      <c r="E25" s="293">
        <f t="shared" si="2"/>
        <v>0</v>
      </c>
    </row>
    <row r="26" spans="1:5" ht="14.4">
      <c r="A26" s="294" t="s">
        <v>458</v>
      </c>
      <c r="B26" s="293">
        <f>ROUND(SUM(B27:B28),2)</f>
        <v>0</v>
      </c>
      <c r="C26" s="293">
        <f>ROUND(SUM(C27:C28),2)</f>
        <v>0</v>
      </c>
      <c r="D26" s="293">
        <f>ROUND(SUM(D27:D28),2)</f>
        <v>0</v>
      </c>
      <c r="E26" s="293">
        <f t="shared" si="2"/>
        <v>0</v>
      </c>
    </row>
    <row r="27" spans="1:5" ht="14.4">
      <c r="A27" s="294" t="s">
        <v>3763</v>
      </c>
      <c r="B27" s="293">
        <f>ROUND(SUMIF(油气资产明细表!$H:$H,B$1&amp;"减值准备本期减少"&amp;REPLACE($A27,1,3,""),油气资产明细表!$F:$F),2)</f>
        <v>0</v>
      </c>
      <c r="C27" s="293">
        <f>ROUND(SUMIF(油气资产明细表!$H:$H,C$1&amp;"减值准备本期减少"&amp;REPLACE($A27,1,3,""),油气资产明细表!$F:$F),2)</f>
        <v>0</v>
      </c>
      <c r="D27" s="293">
        <f>ROUND(SUMIF(油气资产明细表!$H:$H,D$1&amp;"减值准备本期减少"&amp;REPLACE($A27,1,3,""),油气资产明细表!$F:$F),2)</f>
        <v>0</v>
      </c>
      <c r="E27" s="293">
        <f t="shared" si="2"/>
        <v>0</v>
      </c>
    </row>
    <row r="28" spans="1:5" ht="14.4">
      <c r="A28" s="294" t="s">
        <v>3762</v>
      </c>
      <c r="B28" s="293">
        <f>ROUND(SUMIF(油气资产明细表!$H:$H,B$1&amp;"减值准备本期减少"&amp;REPLACE($A28,1,3,""),油气资产明细表!$F:$F),2)</f>
        <v>0</v>
      </c>
      <c r="C28" s="293">
        <f>ROUND(SUMIF(油气资产明细表!$H:$H,C$1&amp;"减值准备本期减少"&amp;REPLACE($A28,1,3,""),油气资产明细表!$F:$F),2)</f>
        <v>0</v>
      </c>
      <c r="D28" s="293">
        <f>ROUND(SUMIF(油气资产明细表!$H:$H,D$1&amp;"减值准备本期减少"&amp;REPLACE($A28,1,3,""),油气资产明细表!$F:$F),2)</f>
        <v>0</v>
      </c>
      <c r="E28" s="293">
        <f t="shared" si="2"/>
        <v>0</v>
      </c>
    </row>
    <row r="29" spans="1:5" ht="14.4">
      <c r="A29" s="294" t="s">
        <v>459</v>
      </c>
      <c r="B29" s="293">
        <f>ROUND(B22+B23-B26,2)</f>
        <v>0</v>
      </c>
      <c r="C29" s="293">
        <f>ROUND(C22+C23-C26,2)</f>
        <v>0</v>
      </c>
      <c r="D29" s="293">
        <f>ROUND(D22+D23-D26,2)</f>
        <v>0</v>
      </c>
      <c r="E29" s="293">
        <f t="shared" si="2"/>
        <v>0</v>
      </c>
    </row>
    <row r="30" spans="1:5" ht="14.4">
      <c r="A30" s="294" t="s">
        <v>462</v>
      </c>
      <c r="B30" s="293"/>
      <c r="C30" s="293"/>
      <c r="D30" s="293"/>
      <c r="E30" s="293"/>
    </row>
    <row r="31" spans="1:5" ht="14.4">
      <c r="A31" s="294" t="s">
        <v>463</v>
      </c>
      <c r="B31" s="293">
        <f>ROUND(B11-B20-B29,2)</f>
        <v>0</v>
      </c>
      <c r="C31" s="293">
        <f>ROUND(C11-C20-C29,2)</f>
        <v>0</v>
      </c>
      <c r="D31" s="293">
        <f>ROUND(D11-D20-D29,2)</f>
        <v>0</v>
      </c>
      <c r="E31" s="293">
        <f>ROUND(SUM(B31:D31),2)</f>
        <v>0</v>
      </c>
    </row>
    <row r="32" spans="1:5" ht="14.4">
      <c r="A32" s="294" t="s">
        <v>464</v>
      </c>
      <c r="B32" s="136">
        <f>ROUND(B3-B13-B22,2)</f>
        <v>0</v>
      </c>
      <c r="C32" s="136">
        <f>ROUND(C3-C13-C22,2)</f>
        <v>0</v>
      </c>
      <c r="D32" s="136">
        <f>ROUND(D3-D13-D22,2)</f>
        <v>0</v>
      </c>
      <c r="E32" s="293">
        <f>ROUND(SUM(B32:D32),2)</f>
        <v>0</v>
      </c>
    </row>
  </sheetData>
  <phoneticPr fontId="1" type="noConversion"/>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codeName="Sheet222">
    <tabColor rgb="FFFFC000"/>
  </sheetPr>
  <dimension ref="A1:E26"/>
  <sheetViews>
    <sheetView workbookViewId="0">
      <selection activeCell="H17" sqref="H17"/>
    </sheetView>
  </sheetViews>
  <sheetFormatPr defaultRowHeight="13.8"/>
  <cols>
    <col min="1" max="1" width="52.88671875" customWidth="1"/>
  </cols>
  <sheetData>
    <row r="1" spans="1:5" ht="15">
      <c r="A1" s="72" t="s">
        <v>28</v>
      </c>
      <c r="B1" s="20" t="s">
        <v>200</v>
      </c>
      <c r="C1" s="20" t="s">
        <v>342</v>
      </c>
      <c r="D1" s="20" t="s">
        <v>335</v>
      </c>
      <c r="E1" s="20" t="s">
        <v>199</v>
      </c>
    </row>
    <row r="2" spans="1:5" ht="15">
      <c r="A2" s="19" t="s">
        <v>4578</v>
      </c>
      <c r="B2" s="152">
        <f>ROUND(SUM(B3:B6),2)</f>
        <v>0</v>
      </c>
      <c r="C2" s="152">
        <f>ROUND(SUM(C3:C6),2)</f>
        <v>0</v>
      </c>
      <c r="D2" s="152">
        <f>ROUND(SUM(D3:D6),2)</f>
        <v>0</v>
      </c>
      <c r="E2" s="152">
        <f t="shared" ref="E2:E11" si="0">ROUND(B2+C2-D2,2)</f>
        <v>0</v>
      </c>
    </row>
    <row r="3" spans="1:5" ht="15">
      <c r="A3" s="345" t="s">
        <v>3783</v>
      </c>
      <c r="B3" s="152">
        <f>ROUND(SUMIF(油气资产明细表!$G:$G,SUBSTITUTE(REPLACE($A3,1,3,""),"","")&amp;"原值"&amp;B$1,油气资产明细表!$F:$F),2)</f>
        <v>0</v>
      </c>
      <c r="C3" s="152">
        <f>ROUND(SUMIF(油气资产明细表!$G:$G,SUBSTITUTE(REPLACE($A3,1,3,""),"","")&amp;"原值"&amp;C$1,油气资产明细表!$F:$F),2)</f>
        <v>0</v>
      </c>
      <c r="D3" s="152">
        <f>ROUND(SUMIF(油气资产明细表!$G:$G,SUBSTITUTE(REPLACE($A3,1,3,""),"","")&amp;"原值"&amp;D$1,油气资产明细表!$F:$F),2)</f>
        <v>0</v>
      </c>
      <c r="E3" s="152">
        <f t="shared" si="0"/>
        <v>0</v>
      </c>
    </row>
    <row r="4" spans="1:5" ht="15">
      <c r="A4" s="345" t="s">
        <v>3784</v>
      </c>
      <c r="B4" s="152">
        <f>ROUND(SUMIF(油气资产明细表!$G:$G,SUBSTITUTE(REPLACE($A4,1,3,""),"","")&amp;"原值"&amp;B$1,油气资产明细表!$F:$F),2)</f>
        <v>0</v>
      </c>
      <c r="C4" s="152">
        <f>ROUND(SUMIF(油气资产明细表!$G:$G,SUBSTITUTE(REPLACE($A4,1,3,""),"","")&amp;"原值"&amp;C$1,油气资产明细表!$F:$F),2)</f>
        <v>0</v>
      </c>
      <c r="D4" s="152">
        <f>ROUND(SUMIF(油气资产明细表!$G:$G,SUBSTITUTE(REPLACE($A4,1,3,""),"","")&amp;"原值"&amp;D$1,油气资产明细表!$F:$F),2)</f>
        <v>0</v>
      </c>
      <c r="E4" s="152">
        <f t="shared" si="0"/>
        <v>0</v>
      </c>
    </row>
    <row r="5" spans="1:5" ht="15">
      <c r="A5" s="345" t="s">
        <v>3785</v>
      </c>
      <c r="B5" s="152">
        <f>ROUND(SUMIF(油气资产明细表!$G:$G,SUBSTITUTE(REPLACE($A5,1,3,""),"","")&amp;"原值"&amp;B$1,油气资产明细表!$F:$F),2)</f>
        <v>0</v>
      </c>
      <c r="C5" s="152">
        <f>ROUND(SUMIF(油气资产明细表!$G:$G,SUBSTITUTE(REPLACE($A5,1,3,""),"","")&amp;"原值"&amp;C$1,油气资产明细表!$F:$F),2)</f>
        <v>0</v>
      </c>
      <c r="D5" s="152">
        <f>ROUND(SUMIF(油气资产明细表!$G:$G,SUBSTITUTE(REPLACE($A5,1,3,""),"","")&amp;"原值"&amp;D$1,油气资产明细表!$F:$F),2)</f>
        <v>0</v>
      </c>
      <c r="E5" s="152">
        <f t="shared" si="0"/>
        <v>0</v>
      </c>
    </row>
    <row r="6" spans="1:5" ht="15">
      <c r="A6" s="345" t="s">
        <v>3786</v>
      </c>
      <c r="B6" s="152">
        <f>ROUND(SUMIF(油气资产明细表!$G:$G,SUBSTITUTE(REPLACE($A6,1,3,""),"","")&amp;"原值"&amp;B$1,油气资产明细表!$F:$F),2)</f>
        <v>0</v>
      </c>
      <c r="C6" s="152">
        <f>ROUND(SUMIF(油气资产明细表!$G:$G,SUBSTITUTE(REPLACE($A6,1,3,""),"","")&amp;"原值"&amp;C$1,油气资产明细表!$F:$F),2)</f>
        <v>0</v>
      </c>
      <c r="D6" s="152">
        <f>ROUND(SUMIF(油气资产明细表!$G:$G,SUBSTITUTE(REPLACE($A6,1,3,""),"","")&amp;"原值"&amp;D$1,油气资产明细表!$F:$F),2)</f>
        <v>0</v>
      </c>
      <c r="E6" s="152">
        <f t="shared" si="0"/>
        <v>0</v>
      </c>
    </row>
    <row r="7" spans="1:5" ht="15">
      <c r="A7" s="19" t="s">
        <v>4579</v>
      </c>
      <c r="B7" s="152">
        <f>ROUND(SUM(B8:B11),2)</f>
        <v>0</v>
      </c>
      <c r="C7" s="152">
        <f>ROUND(SUM(C8:C11),2)</f>
        <v>0</v>
      </c>
      <c r="D7" s="152">
        <f>ROUND(SUM(D8:D11),2)</f>
        <v>0</v>
      </c>
      <c r="E7" s="152">
        <f t="shared" si="0"/>
        <v>0</v>
      </c>
    </row>
    <row r="8" spans="1:5" ht="15">
      <c r="A8" s="345" t="s">
        <v>3783</v>
      </c>
      <c r="B8" s="152">
        <f>ROUND(SUMIF(油气资产明细表!$G:$G,SUBSTITUTE(REPLACE($A8,1,3,""),"","")&amp;"累计折旧"&amp;B$1,油气资产明细表!$F:$F),2)</f>
        <v>0</v>
      </c>
      <c r="C8" s="152">
        <f>ROUND(SUMIF(油气资产明细表!$G:$G,SUBSTITUTE(REPLACE($A8,1,3,""),"","")&amp;"累计折旧"&amp;C$1,油气资产明细表!$F:$F),2)</f>
        <v>0</v>
      </c>
      <c r="D8" s="152">
        <f>ROUND(SUMIF(油气资产明细表!$G:$G,SUBSTITUTE(REPLACE($A8,1,3,""),"","")&amp;"累计折旧"&amp;D$1,油气资产明细表!$F:$F),2)</f>
        <v>0</v>
      </c>
      <c r="E8" s="152">
        <f t="shared" si="0"/>
        <v>0</v>
      </c>
    </row>
    <row r="9" spans="1:5" ht="15">
      <c r="A9" s="345" t="s">
        <v>3784</v>
      </c>
      <c r="B9" s="152">
        <f>ROUND(SUMIF(油气资产明细表!$G:$G,SUBSTITUTE(REPLACE($A9,1,3,""),"","")&amp;"累计折旧"&amp;B$1,油气资产明细表!$F:$F),2)</f>
        <v>0</v>
      </c>
      <c r="C9" s="152">
        <f>ROUND(SUMIF(油气资产明细表!$G:$G,SUBSTITUTE(REPLACE($A9,1,3,""),"","")&amp;"累计折旧"&amp;C$1,油气资产明细表!$F:$F),2)</f>
        <v>0</v>
      </c>
      <c r="D9" s="152">
        <f>ROUND(SUMIF(油气资产明细表!$G:$G,SUBSTITUTE(REPLACE($A9,1,3,""),"","")&amp;"累计折旧"&amp;D$1,油气资产明细表!$F:$F),2)</f>
        <v>0</v>
      </c>
      <c r="E9" s="152">
        <f t="shared" si="0"/>
        <v>0</v>
      </c>
    </row>
    <row r="10" spans="1:5" ht="15">
      <c r="A10" s="345" t="s">
        <v>3785</v>
      </c>
      <c r="B10" s="152">
        <f>ROUND(SUMIF(油气资产明细表!$G:$G,SUBSTITUTE(REPLACE($A10,1,3,""),"","")&amp;"累计折旧"&amp;B$1,油气资产明细表!$F:$F),2)</f>
        <v>0</v>
      </c>
      <c r="C10" s="152">
        <f>ROUND(SUMIF(油气资产明细表!$G:$G,SUBSTITUTE(REPLACE($A10,1,3,""),"","")&amp;"累计折旧"&amp;C$1,油气资产明细表!$F:$F),2)</f>
        <v>0</v>
      </c>
      <c r="D10" s="152">
        <f>ROUND(SUMIF(油气资产明细表!$G:$G,SUBSTITUTE(REPLACE($A10,1,3,""),"","")&amp;"累计折旧"&amp;D$1,油气资产明细表!$F:$F),2)</f>
        <v>0</v>
      </c>
      <c r="E10" s="152">
        <f t="shared" si="0"/>
        <v>0</v>
      </c>
    </row>
    <row r="11" spans="1:5" ht="15">
      <c r="A11" s="345" t="s">
        <v>3786</v>
      </c>
      <c r="B11" s="152">
        <f>ROUND(SUMIF(油气资产明细表!$G:$G,SUBSTITUTE(REPLACE($A11,1,3,""),"","")&amp;"累计折旧"&amp;B$1,油气资产明细表!$F:$F),2)</f>
        <v>0</v>
      </c>
      <c r="C11" s="152">
        <f>ROUND(SUMIF(油气资产明细表!$G:$G,SUBSTITUTE(REPLACE($A11,1,3,""),"","")&amp;"累计折旧"&amp;C$1,油气资产明细表!$F:$F),2)</f>
        <v>0</v>
      </c>
      <c r="D11" s="152">
        <f>ROUND(SUMIF(油气资产明细表!$G:$G,SUBSTITUTE(REPLACE($A11,1,3,""),"","")&amp;"累计折旧"&amp;D$1,油气资产明细表!$F:$F),2)</f>
        <v>0</v>
      </c>
      <c r="E11" s="152">
        <f t="shared" si="0"/>
        <v>0</v>
      </c>
    </row>
    <row r="12" spans="1:5" ht="15">
      <c r="A12" s="19" t="s">
        <v>4580</v>
      </c>
      <c r="B12" s="152">
        <f>ROUND(SUM(B13:B16),2)</f>
        <v>0</v>
      </c>
      <c r="C12" s="152"/>
      <c r="D12" s="152"/>
      <c r="E12" s="152">
        <f>ROUND(SUM(E13:E16),2)</f>
        <v>0</v>
      </c>
    </row>
    <row r="13" spans="1:5" ht="15">
      <c r="A13" s="345" t="s">
        <v>3783</v>
      </c>
      <c r="B13" s="152">
        <f>ROUND(B3-B8,2)</f>
        <v>0</v>
      </c>
      <c r="C13" s="152"/>
      <c r="D13" s="152"/>
      <c r="E13" s="152">
        <f>ROUND(E3-E8,2)</f>
        <v>0</v>
      </c>
    </row>
    <row r="14" spans="1:5" ht="15">
      <c r="A14" s="345" t="s">
        <v>3784</v>
      </c>
      <c r="B14" s="152">
        <f>ROUND(B4-B9,2)</f>
        <v>0</v>
      </c>
      <c r="C14" s="152"/>
      <c r="D14" s="152"/>
      <c r="E14" s="152">
        <f>ROUND(E4-E9,2)</f>
        <v>0</v>
      </c>
    </row>
    <row r="15" spans="1:5" ht="15">
      <c r="A15" s="345" t="s">
        <v>3785</v>
      </c>
      <c r="B15" s="152">
        <f>ROUND(B5-B10,2)</f>
        <v>0</v>
      </c>
      <c r="C15" s="152"/>
      <c r="D15" s="152"/>
      <c r="E15" s="152">
        <f>ROUND(E5-E10,2)</f>
        <v>0</v>
      </c>
    </row>
    <row r="16" spans="1:5" ht="15">
      <c r="A16" s="345" t="s">
        <v>3786</v>
      </c>
      <c r="B16" s="152">
        <f>ROUND(B6-B11,2)</f>
        <v>0</v>
      </c>
      <c r="C16" s="152"/>
      <c r="D16" s="152"/>
      <c r="E16" s="152">
        <f>ROUND(E6-E11,2)</f>
        <v>0</v>
      </c>
    </row>
    <row r="17" spans="1:5" ht="15">
      <c r="A17" s="19" t="s">
        <v>4581</v>
      </c>
      <c r="B17" s="152">
        <f>ROUND(SUM(B18:B21),2)</f>
        <v>0</v>
      </c>
      <c r="C17" s="152">
        <f>ROUND(SUM(C18:C21),2)</f>
        <v>0</v>
      </c>
      <c r="D17" s="152">
        <f>ROUND(SUM(D18:D21),2)</f>
        <v>0</v>
      </c>
      <c r="E17" s="152">
        <f>ROUND(B17+C17-D17,2)</f>
        <v>0</v>
      </c>
    </row>
    <row r="18" spans="1:5" ht="15">
      <c r="A18" s="345" t="s">
        <v>3783</v>
      </c>
      <c r="B18" s="152">
        <f>ROUND(SUMIF(油气资产明细表!$G:$G,SUBSTITUTE(REPLACE($A18,1,3,""),"","")&amp;"减值准备"&amp;B$1,油气资产明细表!$F:$F),2)</f>
        <v>0</v>
      </c>
      <c r="C18" s="152">
        <f>ROUND(SUMIF(油气资产明细表!$G:$G,SUBSTITUTE(REPLACE($A18,1,3,""),"","")&amp;"减值准备"&amp;C$1,油气资产明细表!$F:$F),2)</f>
        <v>0</v>
      </c>
      <c r="D18" s="152">
        <f>ROUND(SUMIF(油气资产明细表!$G:$G,SUBSTITUTE(REPLACE($A18,1,3,""),"","")&amp;"减值准备"&amp;D$1,油气资产明细表!$F:$F),2)</f>
        <v>0</v>
      </c>
      <c r="E18" s="152">
        <f>ROUND(B18+C18-D18,2)</f>
        <v>0</v>
      </c>
    </row>
    <row r="19" spans="1:5" ht="15">
      <c r="A19" s="345" t="s">
        <v>3784</v>
      </c>
      <c r="B19" s="152">
        <f>ROUND(SUMIF(油气资产明细表!$G:$G,SUBSTITUTE(REPLACE($A19,1,3,""),"","")&amp;"减值准备"&amp;B$1,油气资产明细表!$F:$F),2)</f>
        <v>0</v>
      </c>
      <c r="C19" s="152">
        <f>ROUND(SUMIF(油气资产明细表!$G:$G,SUBSTITUTE(REPLACE($A19,1,3,""),"","")&amp;"减值准备"&amp;C$1,油气资产明细表!$F:$F),2)</f>
        <v>0</v>
      </c>
      <c r="D19" s="152">
        <f>ROUND(SUMIF(油气资产明细表!$G:$G,SUBSTITUTE(REPLACE($A19,1,3,""),"","")&amp;"减值准备"&amp;D$1,油气资产明细表!$F:$F),2)</f>
        <v>0</v>
      </c>
      <c r="E19" s="152">
        <f>ROUND(B19+C19-D19,2)</f>
        <v>0</v>
      </c>
    </row>
    <row r="20" spans="1:5" ht="15">
      <c r="A20" s="345" t="s">
        <v>3785</v>
      </c>
      <c r="B20" s="152">
        <f>ROUND(SUMIF(油气资产明细表!$G:$G,SUBSTITUTE(REPLACE($A20,1,3,""),"","")&amp;"减值准备"&amp;B$1,油气资产明细表!$F:$F),2)</f>
        <v>0</v>
      </c>
      <c r="C20" s="152">
        <f>ROUND(SUMIF(油气资产明细表!$G:$G,SUBSTITUTE(REPLACE($A20,1,3,""),"","")&amp;"减值准备"&amp;C$1,油气资产明细表!$F:$F),2)</f>
        <v>0</v>
      </c>
      <c r="D20" s="152">
        <f>ROUND(SUMIF(油气资产明细表!$G:$G,SUBSTITUTE(REPLACE($A20,1,3,""),"","")&amp;"减值准备"&amp;D$1,油气资产明细表!$F:$F),2)</f>
        <v>0</v>
      </c>
      <c r="E20" s="152">
        <f>ROUND(B20+C20-D20,2)</f>
        <v>0</v>
      </c>
    </row>
    <row r="21" spans="1:5" ht="15">
      <c r="A21" s="345" t="s">
        <v>3786</v>
      </c>
      <c r="B21" s="152">
        <f>ROUND(SUMIF(油气资产明细表!$G:$G,SUBSTITUTE(REPLACE($A21,1,3,""),"","")&amp;"减值准备"&amp;B$1,油气资产明细表!$F:$F),2)</f>
        <v>0</v>
      </c>
      <c r="C21" s="152">
        <f>ROUND(SUMIF(油气资产明细表!$G:$G,SUBSTITUTE(REPLACE($A21,1,3,""),"","")&amp;"减值准备"&amp;C$1,油气资产明细表!$F:$F),2)</f>
        <v>0</v>
      </c>
      <c r="D21" s="152">
        <f>ROUND(SUMIF(油气资产明细表!$G:$G,SUBSTITUTE(REPLACE($A21,1,3,""),"","")&amp;"减值准备"&amp;D$1,油气资产明细表!$F:$F),2)</f>
        <v>0</v>
      </c>
      <c r="E21" s="152">
        <f>ROUND(B21+C21-D21,2)</f>
        <v>0</v>
      </c>
    </row>
    <row r="22" spans="1:5" ht="15">
      <c r="A22" s="19" t="s">
        <v>4582</v>
      </c>
      <c r="B22" s="152">
        <f>ROUND(B12-B17,2)</f>
        <v>0</v>
      </c>
      <c r="C22" s="152"/>
      <c r="D22" s="152"/>
      <c r="E22" s="152">
        <f>ROUND(E12-E17,2)</f>
        <v>0</v>
      </c>
    </row>
    <row r="23" spans="1:5" ht="15">
      <c r="A23" s="345" t="s">
        <v>3783</v>
      </c>
      <c r="B23" s="152">
        <f>ROUND(B13-B18,2)</f>
        <v>0</v>
      </c>
      <c r="C23" s="152"/>
      <c r="D23" s="152"/>
      <c r="E23" s="152">
        <f>ROUND(E13-E18,2)</f>
        <v>0</v>
      </c>
    </row>
    <row r="24" spans="1:5" ht="15">
      <c r="A24" s="345" t="s">
        <v>3784</v>
      </c>
      <c r="B24" s="152">
        <f>ROUND(B14-B19,2)</f>
        <v>0</v>
      </c>
      <c r="C24" s="152"/>
      <c r="D24" s="152"/>
      <c r="E24" s="152">
        <f>ROUND(E14-E19,2)</f>
        <v>0</v>
      </c>
    </row>
    <row r="25" spans="1:5" ht="15">
      <c r="A25" s="345" t="s">
        <v>3785</v>
      </c>
      <c r="B25" s="152">
        <f>ROUND(B15-B20,2)</f>
        <v>0</v>
      </c>
      <c r="C25" s="152"/>
      <c r="D25" s="152"/>
      <c r="E25" s="152">
        <f>ROUND(E15-E20,2)</f>
        <v>0</v>
      </c>
    </row>
    <row r="26" spans="1:5" ht="15">
      <c r="A26" s="345" t="s">
        <v>3786</v>
      </c>
      <c r="B26" s="152">
        <f>ROUND(B16-B21,2)</f>
        <v>0</v>
      </c>
      <c r="C26" s="152"/>
      <c r="D26" s="152"/>
      <c r="E26" s="152">
        <f>ROUND(E16-E21,2)</f>
        <v>0</v>
      </c>
    </row>
  </sheetData>
  <phoneticPr fontId="1" type="noConversion"/>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sheetPr codeName="Sheet223"/>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1976</v>
      </c>
      <c r="B1" s="311" t="s">
        <v>1977</v>
      </c>
      <c r="C1" s="261" t="s">
        <v>2443</v>
      </c>
      <c r="D1" s="261" t="s">
        <v>2475</v>
      </c>
      <c r="E1" s="261" t="s">
        <v>2476</v>
      </c>
      <c r="F1" s="261" t="s">
        <v>2478</v>
      </c>
      <c r="G1" s="261" t="s">
        <v>2480</v>
      </c>
      <c r="H1" s="263" t="s">
        <v>2481</v>
      </c>
      <c r="I1" s="261" t="s">
        <v>3385</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B44" s="276"/>
      <c r="E44" s="276"/>
      <c r="G44" t="str">
        <f t="shared" si="0"/>
        <v/>
      </c>
      <c r="I44" t="str">
        <f t="shared" si="2"/>
        <v/>
      </c>
    </row>
    <row r="45" spans="1:9">
      <c r="A45" s="229" t="str">
        <f>IF(F45&gt;0,基础信息!$B$1,"")</f>
        <v/>
      </c>
      <c r="B45" s="276"/>
      <c r="E45" s="276"/>
      <c r="G45" t="str">
        <f t="shared" si="0"/>
        <v/>
      </c>
      <c r="I45" t="str">
        <f t="shared" si="2"/>
        <v/>
      </c>
    </row>
    <row r="46" spans="1:9">
      <c r="A46" s="229" t="str">
        <f>IF(F46&gt;0,基础信息!$B$1,"")</f>
        <v/>
      </c>
      <c r="B46" s="276"/>
      <c r="E46" s="276"/>
      <c r="G46" t="str">
        <f t="shared" si="0"/>
        <v/>
      </c>
      <c r="I46" t="str">
        <f t="shared" si="2"/>
        <v/>
      </c>
    </row>
    <row r="47" spans="1:9">
      <c r="A47" s="229" t="str">
        <f>IF(F47&gt;0,基础信息!$B$1,"")</f>
        <v/>
      </c>
      <c r="B47" s="276"/>
      <c r="E47" s="276"/>
      <c r="G47" t="str">
        <f t="shared" si="0"/>
        <v/>
      </c>
      <c r="I47" t="str">
        <f t="shared" si="2"/>
        <v/>
      </c>
    </row>
    <row r="48" spans="1:9">
      <c r="A48" s="229" t="str">
        <f>IF(F48&gt;0,基础信息!$B$1,"")</f>
        <v/>
      </c>
      <c r="B48" s="276"/>
      <c r="E48" s="276"/>
      <c r="G48" t="str">
        <f t="shared" si="0"/>
        <v/>
      </c>
      <c r="I48" t="str">
        <f t="shared" si="2"/>
        <v/>
      </c>
    </row>
    <row r="49" spans="1:9">
      <c r="A49" s="229" t="str">
        <f>IF(F49&gt;0,基础信息!$B$1,"")</f>
        <v/>
      </c>
      <c r="B49" s="276"/>
      <c r="E49" s="276"/>
      <c r="G49" t="str">
        <f t="shared" si="0"/>
        <v/>
      </c>
      <c r="I49" t="str">
        <f t="shared" si="2"/>
        <v/>
      </c>
    </row>
    <row r="50" spans="1:9">
      <c r="A50" s="229" t="str">
        <f>IF(F50&gt;0,基础信息!$B$1,"")</f>
        <v/>
      </c>
      <c r="B50" s="276"/>
      <c r="E50" s="276"/>
      <c r="G50" t="str">
        <f t="shared" si="0"/>
        <v/>
      </c>
      <c r="I50" t="str">
        <f t="shared" si="2"/>
        <v/>
      </c>
    </row>
    <row r="51" spans="1:9">
      <c r="A51" s="229" t="str">
        <f>IF(F51&gt;0,基础信息!$B$1,"")</f>
        <v/>
      </c>
      <c r="B51" s="276"/>
      <c r="E51" s="276"/>
      <c r="G51" t="str">
        <f t="shared" si="0"/>
        <v/>
      </c>
      <c r="I51" t="str">
        <f t="shared" si="2"/>
        <v/>
      </c>
    </row>
    <row r="52" spans="1:9">
      <c r="A52" s="229" t="str">
        <f>IF(F52&gt;0,基础信息!$B$1,"")</f>
        <v/>
      </c>
      <c r="B52" s="276"/>
      <c r="E52" s="276"/>
      <c r="G52" t="str">
        <f t="shared" si="0"/>
        <v/>
      </c>
      <c r="I52" t="str">
        <f t="shared" si="2"/>
        <v/>
      </c>
    </row>
    <row r="53" spans="1:9">
      <c r="A53" s="229" t="str">
        <f>IF(F53&gt;0,基础信息!$B$1,"")</f>
        <v/>
      </c>
      <c r="B53" s="276"/>
      <c r="E53" s="276"/>
      <c r="G53" t="str">
        <f t="shared" si="0"/>
        <v/>
      </c>
      <c r="I53" t="str">
        <f t="shared" si="2"/>
        <v/>
      </c>
    </row>
    <row r="54" spans="1:9">
      <c r="A54" s="229" t="str">
        <f>IF(F54&gt;0,基础信息!$B$1,"")</f>
        <v/>
      </c>
      <c r="B54" s="276"/>
      <c r="E54" s="276"/>
      <c r="G54" t="str">
        <f t="shared" si="0"/>
        <v/>
      </c>
      <c r="I54" t="str">
        <f t="shared" si="2"/>
        <v/>
      </c>
    </row>
    <row r="55" spans="1:9">
      <c r="A55" s="229" t="str">
        <f>IF(F55&gt;0,基础信息!$B$1,"")</f>
        <v/>
      </c>
      <c r="B55" s="276"/>
      <c r="E55" s="276"/>
      <c r="G55" t="str">
        <f t="shared" si="0"/>
        <v/>
      </c>
      <c r="I55" t="str">
        <f t="shared" si="2"/>
        <v/>
      </c>
    </row>
    <row r="56" spans="1:9">
      <c r="A56" s="229" t="str">
        <f>IF(F56&gt;0,基础信息!$B$1,"")</f>
        <v/>
      </c>
      <c r="B56" s="276"/>
      <c r="E56" s="276"/>
      <c r="G56" t="str">
        <f t="shared" si="0"/>
        <v/>
      </c>
      <c r="I56" t="str">
        <f t="shared" si="2"/>
        <v/>
      </c>
    </row>
    <row r="57" spans="1:9">
      <c r="A57" s="229" t="str">
        <f>IF(F57&gt;0,基础信息!$B$1,"")</f>
        <v/>
      </c>
      <c r="B57" s="276"/>
      <c r="E57" s="276"/>
      <c r="G57" t="str">
        <f t="shared" si="0"/>
        <v/>
      </c>
      <c r="I57" t="str">
        <f t="shared" si="2"/>
        <v/>
      </c>
    </row>
    <row r="58" spans="1:9">
      <c r="A58" s="229" t="str">
        <f>IF(F58&gt;0,基础信息!$B$1,"")</f>
        <v/>
      </c>
      <c r="B58" s="276"/>
      <c r="E58" s="276"/>
      <c r="G58" t="str">
        <f t="shared" si="0"/>
        <v/>
      </c>
      <c r="I58" t="str">
        <f t="shared" si="2"/>
        <v/>
      </c>
    </row>
    <row r="59" spans="1:9">
      <c r="A59" s="229" t="str">
        <f>IF(F59&gt;0,基础信息!$B$1,"")</f>
        <v/>
      </c>
      <c r="B59" s="276"/>
      <c r="E59" s="276"/>
      <c r="G59" t="str">
        <f t="shared" si="0"/>
        <v/>
      </c>
      <c r="I59" t="str">
        <f t="shared" si="2"/>
        <v/>
      </c>
    </row>
    <row r="60" spans="1:9">
      <c r="A60" s="229" t="str">
        <f>IF(F60&gt;0,基础信息!$B$1,"")</f>
        <v/>
      </c>
      <c r="B60" s="276"/>
      <c r="E60" s="276"/>
      <c r="G60" t="str">
        <f t="shared" si="0"/>
        <v/>
      </c>
      <c r="I60" t="str">
        <f t="shared" si="2"/>
        <v/>
      </c>
    </row>
    <row r="61" spans="1:9">
      <c r="A61" s="229" t="str">
        <f>IF(F61&gt;0,基础信息!$B$1,"")</f>
        <v/>
      </c>
      <c r="B61" s="276"/>
      <c r="E61" s="276"/>
      <c r="G61" t="str">
        <f t="shared" si="0"/>
        <v/>
      </c>
      <c r="I61" t="str">
        <f t="shared" si="2"/>
        <v/>
      </c>
    </row>
    <row r="62" spans="1:9">
      <c r="A62" s="229" t="str">
        <f>IF(F62&gt;0,基础信息!$B$1,"")</f>
        <v/>
      </c>
      <c r="B62" s="276"/>
      <c r="E62" s="276"/>
      <c r="G62" t="str">
        <f t="shared" si="0"/>
        <v/>
      </c>
      <c r="I62" t="str">
        <f t="shared" si="2"/>
        <v/>
      </c>
    </row>
    <row r="63" spans="1:9">
      <c r="A63" s="229" t="str">
        <f>IF(F63&gt;0,基础信息!$B$1,"")</f>
        <v/>
      </c>
      <c r="B63" s="276"/>
      <c r="E63" s="276"/>
      <c r="G63" t="str">
        <f t="shared" si="0"/>
        <v/>
      </c>
      <c r="I63" t="str">
        <f t="shared" si="2"/>
        <v/>
      </c>
    </row>
    <row r="64" spans="1:9">
      <c r="A64" s="229" t="str">
        <f>IF(F64&gt;0,基础信息!$B$1,"")</f>
        <v/>
      </c>
      <c r="B64" s="276"/>
      <c r="E64" s="276"/>
      <c r="G64" t="str">
        <f t="shared" si="0"/>
        <v/>
      </c>
      <c r="I64" t="str">
        <f t="shared" si="2"/>
        <v/>
      </c>
    </row>
    <row r="65" spans="1:9">
      <c r="A65" s="229" t="str">
        <f>IF(F65&gt;0,基础信息!$B$1,"")</f>
        <v/>
      </c>
      <c r="B65" s="276"/>
      <c r="E65" s="276"/>
      <c r="G65" t="str">
        <f t="shared" si="0"/>
        <v/>
      </c>
      <c r="I65" t="str">
        <f t="shared" si="2"/>
        <v/>
      </c>
    </row>
    <row r="66" spans="1:9">
      <c r="A66" s="229" t="str">
        <f>IF(F66&gt;0,基础信息!$B$1,"")</f>
        <v/>
      </c>
      <c r="B66" s="276"/>
      <c r="E66" s="276"/>
      <c r="G66" t="str">
        <f t="shared" si="0"/>
        <v/>
      </c>
      <c r="I66" t="str">
        <f t="shared" si="2"/>
        <v/>
      </c>
    </row>
    <row r="67" spans="1:9">
      <c r="A67" s="229" t="str">
        <f>IF(F67&gt;0,基础信息!$B$1,"")</f>
        <v/>
      </c>
      <c r="B67" s="276"/>
      <c r="E67" s="276"/>
      <c r="G67" t="str">
        <f t="shared" ref="G67:G88" si="3">B67&amp;C67&amp;D67</f>
        <v/>
      </c>
      <c r="I67" t="str">
        <f t="shared" ref="I67:I119" si="4">C67&amp;D67&amp;E67</f>
        <v/>
      </c>
    </row>
    <row r="68" spans="1:9">
      <c r="A68" s="229" t="str">
        <f>IF(F68&gt;0,基础信息!$B$1,"")</f>
        <v/>
      </c>
      <c r="B68" s="276"/>
      <c r="E68" s="276"/>
      <c r="G68" t="str">
        <f t="shared" si="3"/>
        <v/>
      </c>
      <c r="I68" t="str">
        <f t="shared" si="4"/>
        <v/>
      </c>
    </row>
    <row r="69" spans="1:9">
      <c r="A69" s="229" t="str">
        <f>IF(F69&gt;0,基础信息!$B$1,"")</f>
        <v/>
      </c>
      <c r="B69" s="276"/>
      <c r="E69" s="276"/>
      <c r="G69" t="str">
        <f t="shared" si="3"/>
        <v/>
      </c>
      <c r="I69" t="str">
        <f t="shared" si="4"/>
        <v/>
      </c>
    </row>
    <row r="70" spans="1:9">
      <c r="A70" s="229" t="str">
        <f>IF(F70&gt;0,基础信息!$B$1,"")</f>
        <v/>
      </c>
      <c r="B70" s="276"/>
      <c r="E70" s="276"/>
      <c r="G70" t="str">
        <f t="shared" si="3"/>
        <v/>
      </c>
      <c r="I70" t="str">
        <f t="shared" si="4"/>
        <v/>
      </c>
    </row>
    <row r="71" spans="1:9">
      <c r="A71" s="229" t="str">
        <f>IF(F71&gt;0,基础信息!$B$1,"")</f>
        <v/>
      </c>
      <c r="B71" s="276"/>
      <c r="E71" s="276"/>
      <c r="G71" t="str">
        <f t="shared" si="3"/>
        <v/>
      </c>
      <c r="I71" t="str">
        <f t="shared" si="4"/>
        <v/>
      </c>
    </row>
    <row r="72" spans="1:9">
      <c r="A72" s="229" t="str">
        <f>IF(F72&gt;0,基础信息!$B$1,"")</f>
        <v/>
      </c>
      <c r="B72" s="276"/>
      <c r="E72" s="276"/>
      <c r="G72" t="str">
        <f t="shared" si="3"/>
        <v/>
      </c>
      <c r="I72" t="str">
        <f t="shared" si="4"/>
        <v/>
      </c>
    </row>
    <row r="73" spans="1:9">
      <c r="A73" s="229" t="str">
        <f>IF(F73&gt;0,基础信息!$B$1,"")</f>
        <v/>
      </c>
      <c r="B73" s="276"/>
      <c r="E73" s="276"/>
      <c r="G73" t="str">
        <f t="shared" si="3"/>
        <v/>
      </c>
      <c r="I73" t="str">
        <f t="shared" si="4"/>
        <v/>
      </c>
    </row>
    <row r="74" spans="1:9">
      <c r="A74" s="229" t="str">
        <f>IF(F74&gt;0,基础信息!$B$1,"")</f>
        <v/>
      </c>
      <c r="B74" s="276"/>
      <c r="E74" s="276"/>
      <c r="G74" t="str">
        <f t="shared" si="3"/>
        <v/>
      </c>
      <c r="I74" t="str">
        <f t="shared" si="4"/>
        <v/>
      </c>
    </row>
    <row r="75" spans="1:9">
      <c r="A75" s="229" t="str">
        <f>IF(F75&gt;0,基础信息!$B$1,"")</f>
        <v/>
      </c>
      <c r="B75" s="276"/>
      <c r="E75" s="276"/>
      <c r="G75" t="str">
        <f t="shared" si="3"/>
        <v/>
      </c>
      <c r="I75" t="str">
        <f t="shared" si="4"/>
        <v/>
      </c>
    </row>
    <row r="76" spans="1:9">
      <c r="A76" s="229" t="str">
        <f>IF(F76&gt;0,基础信息!$B$1,"")</f>
        <v/>
      </c>
      <c r="B76" s="276"/>
      <c r="E76" s="276"/>
      <c r="G76" t="str">
        <f t="shared" si="3"/>
        <v/>
      </c>
      <c r="I76" t="str">
        <f t="shared" si="4"/>
        <v/>
      </c>
    </row>
    <row r="77" spans="1:9">
      <c r="A77" s="229" t="str">
        <f>IF(F77&gt;0,基础信息!$B$1,"")</f>
        <v/>
      </c>
      <c r="B77" s="276"/>
      <c r="E77" s="276"/>
      <c r="G77" t="str">
        <f t="shared" si="3"/>
        <v/>
      </c>
      <c r="I77" t="str">
        <f t="shared" si="4"/>
        <v/>
      </c>
    </row>
    <row r="78" spans="1:9">
      <c r="A78" s="229" t="str">
        <f>IF(F78&gt;0,基础信息!$B$1,"")</f>
        <v/>
      </c>
      <c r="B78" s="276"/>
      <c r="E78" s="276"/>
      <c r="G78" t="str">
        <f t="shared" si="3"/>
        <v/>
      </c>
      <c r="I78" t="str">
        <f t="shared" si="4"/>
        <v/>
      </c>
    </row>
    <row r="79" spans="1:9">
      <c r="A79" s="229" t="str">
        <f>IF(F79&gt;0,基础信息!$B$1,"")</f>
        <v/>
      </c>
      <c r="B79" s="276"/>
      <c r="E79" s="276"/>
      <c r="G79" t="str">
        <f t="shared" si="3"/>
        <v/>
      </c>
      <c r="I79" t="str">
        <f t="shared" si="4"/>
        <v/>
      </c>
    </row>
    <row r="80" spans="1:9">
      <c r="A80" s="229" t="str">
        <f>IF(F80&gt;0,基础信息!$B$1,"")</f>
        <v/>
      </c>
      <c r="B80" s="276"/>
      <c r="E80" s="276"/>
      <c r="G80" t="str">
        <f t="shared" si="3"/>
        <v/>
      </c>
      <c r="I80" t="str">
        <f t="shared" si="4"/>
        <v/>
      </c>
    </row>
    <row r="81" spans="1:9">
      <c r="A81" s="229" t="str">
        <f>IF(F81&gt;0,基础信息!$B$1,"")</f>
        <v/>
      </c>
      <c r="B81" s="276"/>
      <c r="E81" s="276"/>
      <c r="G81" t="str">
        <f t="shared" si="3"/>
        <v/>
      </c>
      <c r="I81" t="str">
        <f t="shared" si="4"/>
        <v/>
      </c>
    </row>
    <row r="82" spans="1:9">
      <c r="A82" s="229" t="str">
        <f>IF(F82&gt;0,基础信息!$B$1,"")</f>
        <v/>
      </c>
      <c r="B82" s="276"/>
      <c r="E82" s="276"/>
      <c r="G82" t="str">
        <f t="shared" si="3"/>
        <v/>
      </c>
      <c r="I82" t="str">
        <f t="shared" si="4"/>
        <v/>
      </c>
    </row>
    <row r="83" spans="1:9">
      <c r="A83" s="229" t="str">
        <f>IF(F83&gt;0,基础信息!$B$1,"")</f>
        <v/>
      </c>
      <c r="B83" s="276"/>
      <c r="E83" s="276"/>
      <c r="G83" t="str">
        <f t="shared" si="3"/>
        <v/>
      </c>
      <c r="I83" t="str">
        <f t="shared" si="4"/>
        <v/>
      </c>
    </row>
    <row r="84" spans="1:9">
      <c r="A84" s="229" t="str">
        <f>IF(F84&gt;0,基础信息!$B$1,"")</f>
        <v/>
      </c>
      <c r="B84" s="276"/>
      <c r="E84" s="276"/>
      <c r="G84" t="str">
        <f t="shared" si="3"/>
        <v/>
      </c>
      <c r="I84" t="str">
        <f t="shared" si="4"/>
        <v/>
      </c>
    </row>
    <row r="85" spans="1:9">
      <c r="A85" s="229" t="str">
        <f>IF(F85&gt;0,基础信息!$B$1,"")</f>
        <v/>
      </c>
      <c r="B85" s="276"/>
      <c r="E85" s="276"/>
      <c r="G85" t="str">
        <f t="shared" si="3"/>
        <v/>
      </c>
      <c r="I85" t="str">
        <f t="shared" si="4"/>
        <v/>
      </c>
    </row>
    <row r="86" spans="1:9">
      <c r="A86" s="229" t="str">
        <f>IF(F86&gt;0,基础信息!$B$1,"")</f>
        <v/>
      </c>
      <c r="B86" s="276"/>
      <c r="E86" s="276"/>
      <c r="G86" t="str">
        <f t="shared" si="3"/>
        <v/>
      </c>
      <c r="I86" t="str">
        <f t="shared" si="4"/>
        <v/>
      </c>
    </row>
    <row r="87" spans="1:9">
      <c r="A87" s="229" t="str">
        <f>IF(F87&gt;0,基础信息!$B$1,"")</f>
        <v/>
      </c>
      <c r="B87" s="276"/>
      <c r="E87" s="276"/>
      <c r="G87" t="str">
        <f t="shared" si="3"/>
        <v/>
      </c>
      <c r="I87" t="str">
        <f t="shared" si="4"/>
        <v/>
      </c>
    </row>
    <row r="88" spans="1:9">
      <c r="A88" s="229" t="str">
        <f>IF(F88&gt;0,基础信息!$B$1,"")</f>
        <v/>
      </c>
      <c r="B88" s="276"/>
      <c r="E88" s="276"/>
      <c r="G88" t="str">
        <f t="shared" si="3"/>
        <v/>
      </c>
      <c r="I88" t="str">
        <f t="shared" si="4"/>
        <v/>
      </c>
    </row>
    <row r="89" spans="1:9">
      <c r="A89" s="229" t="str">
        <f>IF(F89&gt;0,基础信息!$B$1,"")</f>
        <v/>
      </c>
      <c r="B89" s="276"/>
      <c r="E89" s="276"/>
      <c r="I89" t="str">
        <f t="shared" si="4"/>
        <v/>
      </c>
    </row>
    <row r="90" spans="1:9">
      <c r="A90" s="229" t="str">
        <f>IF(F90&gt;0,基础信息!$B$1,"")</f>
        <v/>
      </c>
      <c r="B90" s="276"/>
      <c r="E90" s="276"/>
      <c r="I90" t="str">
        <f t="shared" si="4"/>
        <v/>
      </c>
    </row>
    <row r="91" spans="1:9">
      <c r="A91" s="229" t="str">
        <f>IF(F91&gt;0,基础信息!$B$1,"")</f>
        <v/>
      </c>
      <c r="B91" s="276"/>
      <c r="E91" s="276"/>
      <c r="I91" t="str">
        <f t="shared" si="4"/>
        <v/>
      </c>
    </row>
    <row r="92" spans="1:9">
      <c r="A92" s="229" t="str">
        <f>IF(F92&gt;0,基础信息!$B$1,"")</f>
        <v/>
      </c>
      <c r="B92" s="276"/>
      <c r="E92" s="276"/>
      <c r="I92" t="str">
        <f t="shared" si="4"/>
        <v/>
      </c>
    </row>
    <row r="93" spans="1:9">
      <c r="A93" s="229" t="str">
        <f>IF(F93&gt;0,基础信息!$B$1,"")</f>
        <v/>
      </c>
      <c r="B93" s="276"/>
      <c r="E93" s="276"/>
      <c r="I93" t="str">
        <f t="shared" si="4"/>
        <v/>
      </c>
    </row>
    <row r="94" spans="1:9">
      <c r="A94" s="229" t="str">
        <f>IF(F94&gt;0,基础信息!$B$1,"")</f>
        <v/>
      </c>
      <c r="B94" s="276"/>
      <c r="E94" s="276"/>
      <c r="I94" t="str">
        <f t="shared" si="4"/>
        <v/>
      </c>
    </row>
    <row r="95" spans="1:9">
      <c r="A95" s="229" t="str">
        <f>IF(F95&gt;0,基础信息!$B$1,"")</f>
        <v/>
      </c>
      <c r="B95" s="276"/>
      <c r="E95" s="276"/>
      <c r="I95" t="str">
        <f t="shared" si="4"/>
        <v/>
      </c>
    </row>
    <row r="96" spans="1:9">
      <c r="A96" s="229" t="str">
        <f>IF(F96&gt;0,基础信息!$B$1,"")</f>
        <v/>
      </c>
      <c r="B96" s="276"/>
      <c r="E96" s="276"/>
      <c r="I96" t="str">
        <f t="shared" si="4"/>
        <v/>
      </c>
    </row>
    <row r="97" spans="1:9">
      <c r="A97" s="229" t="str">
        <f>IF(F97&gt;0,基础信息!$B$1,"")</f>
        <v/>
      </c>
      <c r="B97" s="276"/>
      <c r="E97" s="276"/>
      <c r="I97" t="str">
        <f t="shared" si="4"/>
        <v/>
      </c>
    </row>
    <row r="98" spans="1:9">
      <c r="A98" s="229" t="str">
        <f>IF(F98&gt;0,基础信息!$B$1,"")</f>
        <v/>
      </c>
      <c r="B98" s="276"/>
      <c r="E98" s="276"/>
      <c r="I98" t="str">
        <f t="shared" si="4"/>
        <v/>
      </c>
    </row>
    <row r="99" spans="1:9">
      <c r="A99" s="229" t="str">
        <f>IF(F99&gt;0,基础信息!$B$1,"")</f>
        <v/>
      </c>
      <c r="B99" s="276"/>
      <c r="E99" s="276"/>
      <c r="I99" t="str">
        <f t="shared" si="4"/>
        <v/>
      </c>
    </row>
    <row r="100" spans="1:9">
      <c r="A100" s="229" t="str">
        <f>IF(F100&gt;0,基础信息!$B$1,"")</f>
        <v/>
      </c>
      <c r="B100" s="276"/>
      <c r="E100" s="276"/>
      <c r="I100" t="str">
        <f t="shared" si="4"/>
        <v/>
      </c>
    </row>
    <row r="101" spans="1:9">
      <c r="A101" s="229" t="str">
        <f>IF(F101&gt;0,基础信息!$B$1,"")</f>
        <v/>
      </c>
      <c r="B101" s="276"/>
      <c r="E101" s="276"/>
      <c r="I101" t="str">
        <f t="shared" si="4"/>
        <v/>
      </c>
    </row>
    <row r="102" spans="1:9">
      <c r="A102" s="229" t="str">
        <f>IF(F102&gt;0,基础信息!$B$1,"")</f>
        <v/>
      </c>
      <c r="B102" s="276"/>
      <c r="E102" s="276"/>
      <c r="I102" t="str">
        <f t="shared" si="4"/>
        <v/>
      </c>
    </row>
    <row r="103" spans="1:9">
      <c r="A103" s="229" t="str">
        <f>IF(F103&gt;0,基础信息!$B$1,"")</f>
        <v/>
      </c>
      <c r="B103" s="276"/>
      <c r="E103" s="276"/>
      <c r="I103" t="str">
        <f t="shared" si="4"/>
        <v/>
      </c>
    </row>
    <row r="104" spans="1:9">
      <c r="A104" s="229" t="str">
        <f>IF(F104&gt;0,基础信息!$B$1,"")</f>
        <v/>
      </c>
      <c r="B104" s="276"/>
      <c r="E104" s="276"/>
      <c r="I104" t="str">
        <f t="shared" si="4"/>
        <v/>
      </c>
    </row>
    <row r="105" spans="1:9">
      <c r="A105" s="229" t="str">
        <f>IF(F105&gt;0,基础信息!$B$1,"")</f>
        <v/>
      </c>
      <c r="B105" s="276"/>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分类表!$24:$24</xm:f>
          </x14:formula1>
          <xm:sqref>C2:C30</xm:sqref>
        </x14:dataValidation>
        <x14:dataValidation type="list" allowBlank="1" showInputMessage="1" showErrorMessage="1" xr:uid="{EB14AA20-9B28-470E-A8B7-07C6DE767EC1}">
          <x14:formula1>
            <xm:f>分类表!$73:$73</xm:f>
          </x14:formula1>
          <xm:sqref>D2:D34</xm:sqref>
        </x14:dataValidation>
        <x14:dataValidation type="list" allowBlank="1" showInputMessage="1" showErrorMessage="1" xr:uid="{1EF1D63E-924C-4826-B991-90BD5DB7AA6D}">
          <x14:formula1>
            <xm:f>分类表!$22:$22</xm:f>
          </x14:formula1>
          <xm:sqref>C15:C23</xm:sqref>
        </x14:dataValidation>
        <x14:dataValidation type="list" allowBlank="1" showInputMessage="1" showErrorMessage="1" xr:uid="{6B6E7E0D-D31A-4A58-97D9-BC3404ACF3A8}">
          <x14:formula1>
            <xm:f>分类表!$28:$28</xm:f>
          </x14:formula1>
          <xm:sqref>B2:B105</xm:sqref>
        </x14:dataValidation>
        <x14:dataValidation type="list" allowBlank="1" showInputMessage="1" showErrorMessage="1" xr:uid="{944B55BD-C507-41D0-8466-D92E191C9130}">
          <x14:formula1>
            <xm:f>分类表!$78:$78</xm:f>
          </x14:formula1>
          <xm:sqref>E2:E109</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codeName="Sheet20">
    <tabColor rgb="FF00B0F0"/>
  </sheetPr>
  <dimension ref="A1:D21"/>
  <sheetViews>
    <sheetView workbookViewId="0">
      <pane xSplit="1" ySplit="1" topLeftCell="B2" activePane="bottomRight" state="frozen"/>
      <selection activeCell="D27" sqref="D27"/>
      <selection pane="topRight" activeCell="D27" sqref="D27"/>
      <selection pane="bottomLeft" activeCell="D27" sqref="D27"/>
      <selection pane="bottomRight" activeCell="K25" sqref="K25"/>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43" t="s">
        <v>28</v>
      </c>
      <c r="B1" s="253" t="s">
        <v>348</v>
      </c>
      <c r="C1" s="243" t="s">
        <v>1629</v>
      </c>
      <c r="D1" s="254" t="s">
        <v>1954</v>
      </c>
    </row>
    <row r="2" spans="1:4">
      <c r="A2" s="256" t="s">
        <v>1955</v>
      </c>
      <c r="B2" s="257" t="e">
        <f>利润表!B42/((负债表!B74+负债表!C74)/2)</f>
        <v>#DIV/0!</v>
      </c>
      <c r="C2" s="384"/>
      <c r="D2" s="254">
        <f t="shared" ref="D2:D21" si="0">IFERROR((B2-C2)/C2,0)</f>
        <v>0</v>
      </c>
    </row>
    <row r="3" spans="1:4">
      <c r="A3" s="256" t="s">
        <v>1956</v>
      </c>
      <c r="B3" s="257" t="e">
        <f>(利润表!B40+利润表!B22)/((资产表!B54+资产表!C54)/2)</f>
        <v>#DIV/0!</v>
      </c>
      <c r="C3" s="384"/>
      <c r="D3" s="254">
        <f t="shared" si="0"/>
        <v>0</v>
      </c>
    </row>
    <row r="4" spans="1:4">
      <c r="A4" s="256" t="s">
        <v>1957</v>
      </c>
      <c r="B4" s="257" t="e">
        <f>利润表!B36/利润表!B2</f>
        <v>#DIV/0!</v>
      </c>
      <c r="C4" s="385"/>
      <c r="D4" s="254">
        <f t="shared" si="0"/>
        <v>0</v>
      </c>
    </row>
    <row r="5" spans="1:4">
      <c r="A5" s="256" t="s">
        <v>1958</v>
      </c>
      <c r="B5" s="258" t="e">
        <f>现金流量表!B29/利润表!B42</f>
        <v>#DIV/0!</v>
      </c>
      <c r="C5" s="288"/>
      <c r="D5" s="254">
        <f t="shared" si="0"/>
        <v>0</v>
      </c>
    </row>
    <row r="6" spans="1:4">
      <c r="A6" s="256" t="s">
        <v>1959</v>
      </c>
      <c r="B6" s="257" t="e">
        <f>利润表!B40/(利润表!B8+利润表!B16+利润表!B17+利润表!B18+利润表!B21)</f>
        <v>#DIV/0!</v>
      </c>
      <c r="C6" s="385"/>
      <c r="D6" s="254">
        <f t="shared" si="0"/>
        <v>0</v>
      </c>
    </row>
    <row r="7" spans="1:4">
      <c r="A7" s="256" t="s">
        <v>1960</v>
      </c>
      <c r="B7" s="257" t="e">
        <f>利润表!B42/((负债表!B48+负债表!B59+负债表!C48+负债表!C59)/2)</f>
        <v>#DIV/0!</v>
      </c>
      <c r="C7" s="384"/>
      <c r="D7" s="254">
        <f t="shared" si="0"/>
        <v>0</v>
      </c>
    </row>
    <row r="8" spans="1:4">
      <c r="A8" s="256" t="s">
        <v>1961</v>
      </c>
      <c r="B8" s="257" t="e">
        <f>利润表!B2/((资产表!B54+资产表!C54)/2)</f>
        <v>#DIV/0!</v>
      </c>
      <c r="C8" s="255"/>
      <c r="D8" s="254">
        <f t="shared" si="0"/>
        <v>0</v>
      </c>
    </row>
    <row r="9" spans="1:4">
      <c r="A9" s="256" t="s">
        <v>1962</v>
      </c>
      <c r="B9" s="258" t="e">
        <f>利润表!B3/((资产表!B10+资产表!C10)/2)</f>
        <v>#DIV/0!</v>
      </c>
      <c r="C9" s="255"/>
      <c r="D9" s="254">
        <f t="shared" si="0"/>
        <v>0</v>
      </c>
    </row>
    <row r="10" spans="1:4">
      <c r="A10" s="256" t="s">
        <v>1963</v>
      </c>
      <c r="B10" s="258" t="e">
        <f>利润表!B8/((本期TB!H50+本期TB!H49+上期TB!H50+上期TB!H49)/2)</f>
        <v>#DIV/0!</v>
      </c>
      <c r="C10" s="255"/>
      <c r="D10" s="254">
        <f t="shared" si="0"/>
        <v>0</v>
      </c>
    </row>
    <row r="11" spans="1:4">
      <c r="A11" s="256" t="s">
        <v>1964</v>
      </c>
      <c r="B11" s="258" t="e">
        <f>利润表!B3/((资产表!B26+资产表!C26)/2)</f>
        <v>#DIV/0!</v>
      </c>
      <c r="C11" s="255"/>
      <c r="D11" s="254">
        <f t="shared" si="0"/>
        <v>0</v>
      </c>
    </row>
    <row r="12" spans="1:4">
      <c r="A12" s="256" t="s">
        <v>1965</v>
      </c>
      <c r="B12" s="257" t="e">
        <f>现金流量表!B29/((资产表!B54+资产表!C54)/2)</f>
        <v>#DIV/0!</v>
      </c>
      <c r="C12" s="384"/>
      <c r="D12" s="254">
        <f t="shared" si="0"/>
        <v>0</v>
      </c>
    </row>
    <row r="13" spans="1:4">
      <c r="A13" s="256" t="s">
        <v>1966</v>
      </c>
      <c r="B13" s="257" t="e">
        <f>负债表!B46/资产表!B54</f>
        <v>#DIV/0!</v>
      </c>
      <c r="C13" s="385"/>
      <c r="D13" s="254">
        <f t="shared" si="0"/>
        <v>0</v>
      </c>
    </row>
    <row r="14" spans="1:4">
      <c r="A14" s="256" t="s">
        <v>1967</v>
      </c>
      <c r="B14" s="258" t="e">
        <f>(利润表!B40+利润表!B22)/利润表!B22</f>
        <v>#DIV/0!</v>
      </c>
      <c r="C14" s="288"/>
      <c r="D14" s="254">
        <f t="shared" si="0"/>
        <v>0</v>
      </c>
    </row>
    <row r="15" spans="1:4">
      <c r="A15" s="256" t="s">
        <v>1968</v>
      </c>
      <c r="B15" s="258" t="e">
        <f>(资产表!B26-资产表!B19)/负债表!B30</f>
        <v>#DIV/0!</v>
      </c>
      <c r="C15" s="288"/>
      <c r="D15" s="254">
        <f t="shared" si="0"/>
        <v>0</v>
      </c>
    </row>
    <row r="16" spans="1:4">
      <c r="A16" s="256" t="s">
        <v>1969</v>
      </c>
      <c r="B16" s="258" t="e">
        <f>现金流量表!B29/负债表!B30</f>
        <v>#DIV/0!</v>
      </c>
      <c r="C16" s="386"/>
      <c r="D16" s="254">
        <f t="shared" si="0"/>
        <v>0</v>
      </c>
    </row>
    <row r="17" spans="1:4">
      <c r="A17" s="256" t="s">
        <v>1970</v>
      </c>
      <c r="B17" s="257" t="e">
        <f>(负债表!B3+负债表!B28+负债表!B33+负债表!B34+本期TB!H126)/负债表!B46</f>
        <v>#DIV/0!</v>
      </c>
      <c r="C17" s="385"/>
      <c r="D17" s="254">
        <f t="shared" si="0"/>
        <v>0</v>
      </c>
    </row>
    <row r="18" spans="1:4">
      <c r="A18" s="256" t="s">
        <v>1971</v>
      </c>
      <c r="B18" s="257" t="e">
        <f>(利润表!B3-利润表!C3)/利润表!C3</f>
        <v>#DIV/0!</v>
      </c>
      <c r="C18" s="384"/>
      <c r="D18" s="254">
        <f t="shared" si="0"/>
        <v>0</v>
      </c>
    </row>
    <row r="19" spans="1:4">
      <c r="A19" s="256" t="s">
        <v>1972</v>
      </c>
      <c r="B19" s="260" t="e">
        <f>国有资本保值增值计算表!C22</f>
        <v>#DIV/0!</v>
      </c>
      <c r="C19" s="384"/>
      <c r="D19" s="254">
        <f t="shared" si="0"/>
        <v>0</v>
      </c>
    </row>
    <row r="20" spans="1:4">
      <c r="A20" s="256" t="s">
        <v>1973</v>
      </c>
      <c r="B20" s="257" t="e">
        <f>(利润表!B36-利润表!C36)/利润表!C36</f>
        <v>#DIV/0!</v>
      </c>
      <c r="C20" s="384"/>
      <c r="D20" s="254">
        <f t="shared" si="0"/>
        <v>0</v>
      </c>
    </row>
    <row r="21" spans="1:4">
      <c r="A21" s="256" t="s">
        <v>1974</v>
      </c>
      <c r="B21" s="257" t="e">
        <f>(资产表!B54-资产表!C54)/资产表!C54</f>
        <v>#DIV/0!</v>
      </c>
      <c r="C21" s="384"/>
      <c r="D21" s="254">
        <f t="shared" si="0"/>
        <v>0</v>
      </c>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codeName="Sheet224">
    <tabColor rgb="FFFFC000"/>
  </sheetPr>
  <dimension ref="A1:E32"/>
  <sheetViews>
    <sheetView topLeftCell="A13" workbookViewId="0">
      <selection activeCell="G14" sqref="G14"/>
    </sheetView>
  </sheetViews>
  <sheetFormatPr defaultRowHeight="13.8"/>
  <cols>
    <col min="1" max="1" width="20.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28</v>
      </c>
      <c r="B1" s="528" t="s">
        <v>421</v>
      </c>
      <c r="C1" s="532" t="s">
        <v>434</v>
      </c>
      <c r="D1" s="532" t="s">
        <v>435</v>
      </c>
      <c r="E1" s="35" t="s">
        <v>204</v>
      </c>
    </row>
    <row r="2" spans="1:5" ht="14.4">
      <c r="A2" s="38" t="s">
        <v>424</v>
      </c>
      <c r="B2" s="39"/>
      <c r="C2" s="50"/>
      <c r="D2" s="50"/>
      <c r="E2" s="39"/>
    </row>
    <row r="3" spans="1:5" ht="14.4">
      <c r="A3" s="53" t="s">
        <v>465</v>
      </c>
      <c r="B3" s="293">
        <f>ROUND(SUMIF(使用权资产明细表!$H:$H,B$1&amp;"原值期初数",使用权资产明细表!$F:$F),2)</f>
        <v>0</v>
      </c>
      <c r="C3" s="293">
        <f>ROUND(SUMIF(使用权资产明细表!$H:$H,C$1&amp;"原值期初数",使用权资产明细表!$F:$F),2)</f>
        <v>0</v>
      </c>
      <c r="D3" s="293">
        <f>ROUND(SUMIF(使用权资产明细表!$H:$H,D$1&amp;"原值期初数",使用权资产明细表!$F:$F),2)</f>
        <v>0</v>
      </c>
      <c r="E3" s="293">
        <f t="shared" ref="E3:E11" si="0">ROUND(SUM(B3:D3),2)</f>
        <v>0</v>
      </c>
    </row>
    <row r="4" spans="1:5" ht="14.4">
      <c r="A4" s="53" t="s">
        <v>425</v>
      </c>
      <c r="B4" s="293">
        <f>ROUND(SUM(B5:B8),2)</f>
        <v>0</v>
      </c>
      <c r="C4" s="293">
        <f>ROUND(SUM(C5:C8),2)</f>
        <v>0</v>
      </c>
      <c r="D4" s="293">
        <f>ROUND(SUM(D5:D8),2)</f>
        <v>0</v>
      </c>
      <c r="E4" s="293">
        <f t="shared" si="0"/>
        <v>0</v>
      </c>
    </row>
    <row r="5" spans="1:5" ht="14.4">
      <c r="A5" s="38" t="s">
        <v>3787</v>
      </c>
      <c r="B5" s="293">
        <f>ROUND(SUMIF(使用权资产明细表!$H:$H,B$1&amp;"原值本期增加"&amp;REPLACE($A5,1,3,""),使用权资产明细表!$F:$F),2)</f>
        <v>0</v>
      </c>
      <c r="C5" s="293">
        <f>ROUND(SUMIF(使用权资产明细表!$H:$H,C$1&amp;"原值本期增加"&amp;REPLACE($A5,1,3,""),使用权资产明细表!$F:$F),2)</f>
        <v>0</v>
      </c>
      <c r="D5" s="293">
        <f>ROUND(SUMIF(使用权资产明细表!$H:$H,D$1&amp;"原值本期增加"&amp;REPLACE($A5,1,3,""),使用权资产明细表!$F:$F),2)</f>
        <v>0</v>
      </c>
      <c r="E5" s="293">
        <f t="shared" si="0"/>
        <v>0</v>
      </c>
    </row>
    <row r="6" spans="1:5" ht="14.4">
      <c r="A6" s="38" t="s">
        <v>3788</v>
      </c>
      <c r="B6" s="293">
        <f>ROUND(SUMIF(使用权资产明细表!$H:$H,B$1&amp;"原值本期增加"&amp;REPLACE($A6,1,3,""),使用权资产明细表!$F:$F),2)</f>
        <v>0</v>
      </c>
      <c r="C6" s="293">
        <f>ROUND(SUMIF(使用权资产明细表!$H:$H,C$1&amp;"原值本期增加"&amp;REPLACE($A6,1,3,""),使用权资产明细表!$F:$F),2)</f>
        <v>0</v>
      </c>
      <c r="D6" s="293">
        <f>ROUND(SUMIF(使用权资产明细表!$H:$H,D$1&amp;"原值本期增加"&amp;REPLACE($A6,1,3,""),使用权资产明细表!$F:$F),2)</f>
        <v>0</v>
      </c>
      <c r="E6" s="293">
        <f t="shared" si="0"/>
        <v>0</v>
      </c>
    </row>
    <row r="7" spans="1:5" ht="15.6">
      <c r="A7" s="38" t="s">
        <v>3789</v>
      </c>
      <c r="B7" s="293">
        <f>ROUND(SUMIF(使用权资产明细表!$H:$H,B$1&amp;"原值本期增加"&amp;REPLACE($A7,1,3,""),使用权资产明细表!$F:$F),2)</f>
        <v>0</v>
      </c>
      <c r="C7" s="293">
        <f>ROUND(SUMIF(使用权资产明细表!$H:$H,C$1&amp;"原值本期增加"&amp;REPLACE($A7,1,3,""),使用权资产明细表!$F:$F),2)</f>
        <v>0</v>
      </c>
      <c r="D7" s="293">
        <f>ROUND(SUMIF(使用权资产明细表!$H:$H,D$1&amp;"原值本期增加"&amp;REPLACE($A7,1,3,""),使用权资产明细表!$F:$F),2)</f>
        <v>0</v>
      </c>
      <c r="E7" s="293">
        <f t="shared" si="0"/>
        <v>0</v>
      </c>
    </row>
    <row r="8" spans="1:5" ht="14.4">
      <c r="A8" s="53" t="s">
        <v>426</v>
      </c>
      <c r="B8" s="293">
        <f>ROUND(SUM(B9:B10),2)</f>
        <v>0</v>
      </c>
      <c r="C8" s="293">
        <f>ROUND(SUM(C9:C10),2)</f>
        <v>0</v>
      </c>
      <c r="D8" s="293">
        <f>ROUND(SUM(D9:D10),2)</f>
        <v>0</v>
      </c>
      <c r="E8" s="293">
        <f t="shared" si="0"/>
        <v>0</v>
      </c>
    </row>
    <row r="9" spans="1:5" ht="14.4">
      <c r="A9" s="38" t="s">
        <v>3790</v>
      </c>
      <c r="B9" s="293">
        <f>ROUND(SUMIF(使用权资产明细表!$H:$H,B$1&amp;"原值本期减少"&amp;REPLACE($A9,1,3,""),使用权资产明细表!$F:$F),2)</f>
        <v>0</v>
      </c>
      <c r="C9" s="293">
        <f>ROUND(SUMIF(使用权资产明细表!$H:$H,C$1&amp;"原值本期减少"&amp;REPLACE($A9,1,3,""),使用权资产明细表!$F:$F),2)</f>
        <v>0</v>
      </c>
      <c r="D9" s="293">
        <f>ROUND(SUMIF(使用权资产明细表!$H:$H,D$1&amp;"原值本期减少"&amp;REPLACE($A9,1,3,""),使用权资产明细表!$F:$F),2)</f>
        <v>0</v>
      </c>
      <c r="E9" s="293">
        <f t="shared" si="0"/>
        <v>0</v>
      </c>
    </row>
    <row r="10" spans="1:5" ht="15.6">
      <c r="A10" s="38" t="s">
        <v>3789</v>
      </c>
      <c r="B10" s="293">
        <f>ROUND(SUMIF(使用权资产明细表!$H:$H,B$1&amp;"原值本期减少"&amp;REPLACE($A10,1,3,""),使用权资产明细表!$F:$F),2)</f>
        <v>0</v>
      </c>
      <c r="C10" s="293">
        <f>ROUND(SUMIF(使用权资产明细表!$H:$H,C$1&amp;"原值本期减少"&amp;REPLACE($A10,1,3,""),使用权资产明细表!$F:$F),2)</f>
        <v>0</v>
      </c>
      <c r="D10" s="293">
        <f>ROUND(SUMIF(使用权资产明细表!$H:$H,D$1&amp;"原值本期减少"&amp;REPLACE($A10,1,3,""),使用权资产明细表!$F:$F),2)</f>
        <v>0</v>
      </c>
      <c r="E10" s="293">
        <f t="shared" si="0"/>
        <v>0</v>
      </c>
    </row>
    <row r="11" spans="1:5" ht="14.4">
      <c r="A11" s="53" t="s">
        <v>427</v>
      </c>
      <c r="B11" s="293">
        <f>ROUND(B3+B4-B8,2)</f>
        <v>0</v>
      </c>
      <c r="C11" s="293">
        <f>ROUND(C3+C4-C8,2)</f>
        <v>0</v>
      </c>
      <c r="D11" s="293">
        <f>ROUND(D3+D4-D8,2)</f>
        <v>0</v>
      </c>
      <c r="E11" s="293">
        <f t="shared" si="0"/>
        <v>0</v>
      </c>
    </row>
    <row r="12" spans="1:5" ht="14.4">
      <c r="A12" s="38" t="s">
        <v>436</v>
      </c>
      <c r="B12" s="293"/>
      <c r="C12" s="293"/>
      <c r="D12" s="293"/>
      <c r="E12" s="293"/>
    </row>
    <row r="13" spans="1:5" ht="14.4">
      <c r="A13" s="53" t="s">
        <v>465</v>
      </c>
      <c r="B13" s="293">
        <f>ROUND(SUMIF(使用权资产明细表!$H:$H,B$1&amp;"累计折旧期初数",使用权资产明细表!$F:$F),2)</f>
        <v>0</v>
      </c>
      <c r="C13" s="293">
        <f>ROUND(SUMIF(使用权资产明细表!$H:$H,C$1&amp;"累计折旧期初数",使用权资产明细表!$F:$F),2)</f>
        <v>0</v>
      </c>
      <c r="D13" s="293">
        <f>ROUND(SUMIF(使用权资产明细表!$H:$H,D$1&amp;"累计折旧期初数",使用权资产明细表!$F:$F),2)</f>
        <v>0</v>
      </c>
      <c r="E13" s="293">
        <f t="shared" ref="E13:E20" si="1">ROUND(SUM(B13:D13),2)</f>
        <v>0</v>
      </c>
    </row>
    <row r="14" spans="1:5" ht="14.4">
      <c r="A14" s="53" t="s">
        <v>425</v>
      </c>
      <c r="B14" s="293">
        <f>ROUND(SUM(B15:B16),2)</f>
        <v>0</v>
      </c>
      <c r="C14" s="293">
        <f>ROUND(SUM(C15:C16),2)</f>
        <v>0</v>
      </c>
      <c r="D14" s="293">
        <f>ROUND(SUM(D15:D16),2)</f>
        <v>0</v>
      </c>
      <c r="E14" s="293">
        <f t="shared" si="1"/>
        <v>0</v>
      </c>
    </row>
    <row r="15" spans="1:5" ht="14.4">
      <c r="A15" s="38" t="s">
        <v>3779</v>
      </c>
      <c r="B15" s="293">
        <f>ROUND(SUMIF(使用权资产明细表!$H:$H,B$1&amp;"累计折旧本期增加"&amp;REPLACE($A15,1,3,""),使用权资产明细表!$F:$F),2)</f>
        <v>0</v>
      </c>
      <c r="C15" s="293">
        <f>ROUND(SUMIF(使用权资产明细表!$H:$H,C$1&amp;"累计折旧本期增加"&amp;REPLACE($A15,1,3,""),使用权资产明细表!$F:$F),2)</f>
        <v>0</v>
      </c>
      <c r="D15" s="293">
        <f>ROUND(SUMIF(使用权资产明细表!$H:$H,D$1&amp;"累计折旧本期增加"&amp;REPLACE($A15,1,3,""),使用权资产明细表!$F:$F),2)</f>
        <v>0</v>
      </c>
      <c r="E15" s="293">
        <f t="shared" si="1"/>
        <v>0</v>
      </c>
    </row>
    <row r="16" spans="1:5" ht="15.6">
      <c r="A16" s="38" t="s">
        <v>3789</v>
      </c>
      <c r="B16" s="293">
        <f>ROUND(SUMIF(使用权资产明细表!$H:$H,B$1&amp;"累计折旧本期增加"&amp;REPLACE($A16,1,3,""),使用权资产明细表!$F:$F),2)</f>
        <v>0</v>
      </c>
      <c r="C16" s="293">
        <f>ROUND(SUMIF(使用权资产明细表!$H:$H,C$1&amp;"累计折旧本期增加"&amp;REPLACE($A16,1,3,""),使用权资产明细表!$F:$F),2)</f>
        <v>0</v>
      </c>
      <c r="D16" s="293">
        <f>ROUND(SUMIF(使用权资产明细表!$H:$H,D$1&amp;"累计折旧本期增加"&amp;REPLACE($A16,1,3,""),使用权资产明细表!$F:$F),2)</f>
        <v>0</v>
      </c>
      <c r="E16" s="293">
        <f t="shared" si="1"/>
        <v>0</v>
      </c>
    </row>
    <row r="17" spans="1:5" ht="14.4">
      <c r="A17" s="53" t="s">
        <v>426</v>
      </c>
      <c r="B17" s="293">
        <f>ROUND(SUM(B18:B19),2)</f>
        <v>0</v>
      </c>
      <c r="C17" s="293">
        <f>ROUND(SUM(C18:C19),2)</f>
        <v>0</v>
      </c>
      <c r="D17" s="293">
        <f>ROUND(SUM(D18:D19),2)</f>
        <v>0</v>
      </c>
      <c r="E17" s="293">
        <f t="shared" si="1"/>
        <v>0</v>
      </c>
    </row>
    <row r="18" spans="1:5" ht="14.4">
      <c r="A18" s="38" t="s">
        <v>3790</v>
      </c>
      <c r="B18" s="293">
        <f>ROUND(SUMIF(使用权资产明细表!$H:$H,B$1&amp;"累计折旧本期减少"&amp;REPLACE($A18,1,3,""),使用权资产明细表!$F:$F),2)</f>
        <v>0</v>
      </c>
      <c r="C18" s="293">
        <f>ROUND(SUMIF(使用权资产明细表!$H:$H,C$1&amp;"累计折旧本期减少"&amp;REPLACE($A18,1,3,""),使用权资产明细表!$F:$F),2)</f>
        <v>0</v>
      </c>
      <c r="D18" s="293">
        <f>ROUND(SUMIF(使用权资产明细表!$H:$H,D$1&amp;"累计折旧本期减少"&amp;REPLACE($A18,1,3,""),使用权资产明细表!$F:$F),2)</f>
        <v>0</v>
      </c>
      <c r="E18" s="293">
        <f t="shared" si="1"/>
        <v>0</v>
      </c>
    </row>
    <row r="19" spans="1:5" ht="15.6">
      <c r="A19" s="38" t="s">
        <v>3789</v>
      </c>
      <c r="B19" s="293">
        <f>ROUND(SUMIF(使用权资产明细表!$H:$H,B$1&amp;"累计折旧本期减少"&amp;REPLACE($A19,1,3,""),使用权资产明细表!$F:$F),2)</f>
        <v>0</v>
      </c>
      <c r="C19" s="293">
        <f>ROUND(SUMIF(使用权资产明细表!$H:$H,C$1&amp;"累计折旧本期减少"&amp;REPLACE($A19,1,3,""),使用权资产明细表!$F:$F),2)</f>
        <v>0</v>
      </c>
      <c r="D19" s="293">
        <f>ROUND(SUMIF(使用权资产明细表!$H:$H,D$1&amp;"累计折旧本期减少"&amp;REPLACE($A19,1,3,""),使用权资产明细表!$F:$F),2)</f>
        <v>0</v>
      </c>
      <c r="E19" s="293">
        <f t="shared" si="1"/>
        <v>0</v>
      </c>
    </row>
    <row r="20" spans="1:5" ht="14.4">
      <c r="A20" s="53" t="s">
        <v>427</v>
      </c>
      <c r="B20" s="293">
        <f>ROUND(B13+B14-B17,2)</f>
        <v>0</v>
      </c>
      <c r="C20" s="293">
        <f>ROUND(C13+C14-C17,2)</f>
        <v>0</v>
      </c>
      <c r="D20" s="293">
        <f>ROUND(D13+D14-D17,2)</f>
        <v>0</v>
      </c>
      <c r="E20" s="293">
        <f t="shared" si="1"/>
        <v>0</v>
      </c>
    </row>
    <row r="21" spans="1:5" ht="14.4">
      <c r="A21" s="38" t="s">
        <v>429</v>
      </c>
      <c r="B21" s="293"/>
      <c r="C21" s="293"/>
      <c r="D21" s="293"/>
      <c r="E21" s="293"/>
    </row>
    <row r="22" spans="1:5" ht="14.4">
      <c r="A22" s="53" t="s">
        <v>465</v>
      </c>
      <c r="B22" s="293">
        <f>ROUND(SUMIF(使用权资产明细表!$H:$H,B$1&amp;"减值准备期初数",使用权资产明细表!$F:$F),2)</f>
        <v>0</v>
      </c>
      <c r="C22" s="293">
        <f>ROUND(SUMIF(使用权资产明细表!$H:$H,C$1&amp;"减值准备期初数",使用权资产明细表!$F:$F),2)</f>
        <v>0</v>
      </c>
      <c r="D22" s="293">
        <f>ROUND(SUMIF(使用权资产明细表!$H:$H,D$1&amp;"减值准备期初数",使用权资产明细表!$F:$F),2)</f>
        <v>0</v>
      </c>
      <c r="E22" s="293">
        <f t="shared" ref="E22:E29" si="2">ROUND(SUM(B22:D22),2)</f>
        <v>0</v>
      </c>
    </row>
    <row r="23" spans="1:5" ht="14.4">
      <c r="A23" s="53" t="s">
        <v>425</v>
      </c>
      <c r="B23" s="293">
        <f>ROUND(SUM(B24:B25),2)</f>
        <v>0</v>
      </c>
      <c r="C23" s="293">
        <f>ROUND(SUM(C24:C25),2)</f>
        <v>0</v>
      </c>
      <c r="D23" s="293">
        <f>ROUND(SUM(D24:D25),2)</f>
        <v>0</v>
      </c>
      <c r="E23" s="293">
        <f t="shared" si="2"/>
        <v>0</v>
      </c>
    </row>
    <row r="24" spans="1:5" ht="14.4">
      <c r="A24" s="38" t="s">
        <v>3779</v>
      </c>
      <c r="B24" s="293">
        <f>ROUND(SUMIF(使用权资产明细表!$H:$H,B$1&amp;"减值准备本期增加"&amp;REPLACE($A24,1,3,""),使用权资产明细表!$F:$F),2)</f>
        <v>0</v>
      </c>
      <c r="C24" s="293">
        <f>ROUND(SUMIF(使用权资产明细表!$H:$H,C$1&amp;"减值准备本期增加"&amp;REPLACE($A24,1,3,""),使用权资产明细表!$F:$F),2)</f>
        <v>0</v>
      </c>
      <c r="D24" s="293">
        <f>ROUND(SUMIF(使用权资产明细表!$H:$H,D$1&amp;"减值准备本期增加"&amp;REPLACE($A24,1,3,""),使用权资产明细表!$F:$F),2)</f>
        <v>0</v>
      </c>
      <c r="E24" s="293">
        <f t="shared" si="2"/>
        <v>0</v>
      </c>
    </row>
    <row r="25" spans="1:5" ht="14.4">
      <c r="A25" s="38" t="s">
        <v>3791</v>
      </c>
      <c r="B25" s="293">
        <f>ROUND(SUMIF(使用权资产明细表!$H:$H,B$1&amp;"减值准备本期增加"&amp;REPLACE($A25,1,3,""),使用权资产明细表!$F:$F),2)</f>
        <v>0</v>
      </c>
      <c r="C25" s="293">
        <f>ROUND(SUMIF(使用权资产明细表!$H:$H,C$1&amp;"减值准备本期增加"&amp;REPLACE($A25,1,3,""),使用权资产明细表!$F:$F),2)</f>
        <v>0</v>
      </c>
      <c r="D25" s="293">
        <f>ROUND(SUMIF(使用权资产明细表!$H:$H,D$1&amp;"减值准备本期增加"&amp;REPLACE($A25,1,3,""),使用权资产明细表!$F:$F),2)</f>
        <v>0</v>
      </c>
      <c r="E25" s="293">
        <f t="shared" si="2"/>
        <v>0</v>
      </c>
    </row>
    <row r="26" spans="1:5" ht="14.4">
      <c r="A26" s="53" t="s">
        <v>426</v>
      </c>
      <c r="B26" s="293">
        <f>ROUND(SUM(B27:B28),2)</f>
        <v>0</v>
      </c>
      <c r="C26" s="293">
        <f>ROUND(SUM(C27:C28),2)</f>
        <v>0</v>
      </c>
      <c r="D26" s="293">
        <f>ROUND(SUM(D27:D28),2)</f>
        <v>0</v>
      </c>
      <c r="E26" s="293">
        <f t="shared" si="2"/>
        <v>0</v>
      </c>
    </row>
    <row r="27" spans="1:5" ht="14.4">
      <c r="A27" s="38" t="s">
        <v>3790</v>
      </c>
      <c r="B27" s="293">
        <f>ROUND(SUMIF(使用权资产明细表!$H:$H,B$1&amp;"减值准备本期减少"&amp;REPLACE($A27,1,3,""),使用权资产明细表!$F:$F),2)</f>
        <v>0</v>
      </c>
      <c r="C27" s="293">
        <f>ROUND(SUMIF(使用权资产明细表!$H:$H,C$1&amp;"减值准备本期减少"&amp;REPLACE($A27,1,3,""),使用权资产明细表!$F:$F),2)</f>
        <v>0</v>
      </c>
      <c r="D27" s="293">
        <f>ROUND(SUMIF(使用权资产明细表!$H:$H,D$1&amp;"减值准备本期减少"&amp;REPLACE($A27,1,3,""),使用权资产明细表!$F:$F),2)</f>
        <v>0</v>
      </c>
      <c r="E27" s="293">
        <f t="shared" si="2"/>
        <v>0</v>
      </c>
    </row>
    <row r="28" spans="1:5" ht="15.6">
      <c r="A28" s="38" t="s">
        <v>3789</v>
      </c>
      <c r="B28" s="293">
        <f>ROUND(SUMIF(使用权资产明细表!$H:$H,B$1&amp;"减值准备本期减少"&amp;REPLACE($A28,1,3,""),使用权资产明细表!$F:$F),2)</f>
        <v>0</v>
      </c>
      <c r="C28" s="293">
        <f>ROUND(SUMIF(使用权资产明细表!$H:$H,C$1&amp;"减值准备本期减少"&amp;REPLACE($A28,1,3,""),使用权资产明细表!$F:$F),2)</f>
        <v>0</v>
      </c>
      <c r="D28" s="293">
        <f>ROUND(SUMIF(使用权资产明细表!$H:$H,D$1&amp;"减值准备本期减少"&amp;REPLACE($A28,1,3,""),使用权资产明细表!$F:$F),2)</f>
        <v>0</v>
      </c>
      <c r="E28" s="293">
        <f t="shared" si="2"/>
        <v>0</v>
      </c>
    </row>
    <row r="29" spans="1:5" ht="14.4">
      <c r="A29" s="53" t="s">
        <v>427</v>
      </c>
      <c r="B29" s="293">
        <f>ROUND(B22+B23-B26,2)</f>
        <v>0</v>
      </c>
      <c r="C29" s="293">
        <f>ROUND(C22+C23-C26,2)</f>
        <v>0</v>
      </c>
      <c r="D29" s="293">
        <f>ROUND(D22+D23-D26,2)</f>
        <v>0</v>
      </c>
      <c r="E29" s="293">
        <f t="shared" si="2"/>
        <v>0</v>
      </c>
    </row>
    <row r="30" spans="1:5" ht="14.4">
      <c r="A30" s="38" t="s">
        <v>430</v>
      </c>
      <c r="B30" s="293"/>
      <c r="C30" s="293"/>
      <c r="D30" s="293"/>
      <c r="E30" s="293"/>
    </row>
    <row r="31" spans="1:5" ht="14.4">
      <c r="A31" s="53" t="s">
        <v>431</v>
      </c>
      <c r="B31" s="293">
        <f>ROUND(B11-B20-B29,2)</f>
        <v>0</v>
      </c>
      <c r="C31" s="293">
        <f>ROUND(C11-C20-C29,2)</f>
        <v>0</v>
      </c>
      <c r="D31" s="293">
        <f>ROUND(D11-D20-D29,2)</f>
        <v>0</v>
      </c>
      <c r="E31" s="293">
        <f>ROUND(SUM(B31:D31),2)</f>
        <v>0</v>
      </c>
    </row>
    <row r="32" spans="1:5" ht="14.4">
      <c r="A32" s="53" t="s">
        <v>466</v>
      </c>
      <c r="B32" s="136">
        <f>ROUND(B3-B13-B22,2)</f>
        <v>0</v>
      </c>
      <c r="C32" s="136">
        <f>ROUND(C3-C13-C22,2)</f>
        <v>0</v>
      </c>
      <c r="D32" s="136">
        <f>ROUND(D3-D13-D22,2)</f>
        <v>0</v>
      </c>
      <c r="E32" s="293">
        <f>ROUND(SUM(B32:D32),2)</f>
        <v>0</v>
      </c>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sheetPr codeName="Sheet225"/>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1976</v>
      </c>
      <c r="B1" s="311" t="s">
        <v>1977</v>
      </c>
      <c r="C1" s="261" t="s">
        <v>2443</v>
      </c>
      <c r="D1" s="261" t="s">
        <v>2475</v>
      </c>
      <c r="E1" s="261" t="s">
        <v>2476</v>
      </c>
      <c r="F1" s="261" t="s">
        <v>2478</v>
      </c>
      <c r="G1" s="261" t="s">
        <v>2480</v>
      </c>
      <c r="H1" s="263" t="s">
        <v>2481</v>
      </c>
      <c r="I1" s="261" t="s">
        <v>3385</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B44" s="276"/>
      <c r="E44" s="276"/>
      <c r="G44" t="str">
        <f t="shared" si="0"/>
        <v/>
      </c>
      <c r="I44" t="str">
        <f t="shared" si="2"/>
        <v/>
      </c>
    </row>
    <row r="45" spans="1:9">
      <c r="A45" s="229" t="str">
        <f>IF(F45&gt;0,基础信息!$B$1,"")</f>
        <v/>
      </c>
      <c r="B45" s="276"/>
      <c r="E45" s="276"/>
      <c r="G45" t="str">
        <f t="shared" si="0"/>
        <v/>
      </c>
      <c r="I45" t="str">
        <f t="shared" si="2"/>
        <v/>
      </c>
    </row>
    <row r="46" spans="1:9">
      <c r="A46" s="229" t="str">
        <f>IF(F46&gt;0,基础信息!$B$1,"")</f>
        <v/>
      </c>
      <c r="B46" s="276"/>
      <c r="E46" s="276"/>
      <c r="G46" t="str">
        <f t="shared" si="0"/>
        <v/>
      </c>
      <c r="I46" t="str">
        <f t="shared" si="2"/>
        <v/>
      </c>
    </row>
    <row r="47" spans="1:9">
      <c r="A47" s="229" t="str">
        <f>IF(F47&gt;0,基础信息!$B$1,"")</f>
        <v/>
      </c>
      <c r="B47" s="276"/>
      <c r="E47" s="276"/>
      <c r="G47" t="str">
        <f t="shared" si="0"/>
        <v/>
      </c>
      <c r="I47" t="str">
        <f t="shared" si="2"/>
        <v/>
      </c>
    </row>
    <row r="48" spans="1:9">
      <c r="A48" s="229" t="str">
        <f>IF(F48&gt;0,基础信息!$B$1,"")</f>
        <v/>
      </c>
      <c r="B48" s="276"/>
      <c r="E48" s="276"/>
      <c r="G48" t="str">
        <f t="shared" si="0"/>
        <v/>
      </c>
      <c r="I48" t="str">
        <f t="shared" si="2"/>
        <v/>
      </c>
    </row>
    <row r="49" spans="1:9">
      <c r="A49" s="229" t="str">
        <f>IF(F49&gt;0,基础信息!$B$1,"")</f>
        <v/>
      </c>
      <c r="B49" s="276"/>
      <c r="E49" s="276"/>
      <c r="G49" t="str">
        <f t="shared" si="0"/>
        <v/>
      </c>
      <c r="I49" t="str">
        <f t="shared" si="2"/>
        <v/>
      </c>
    </row>
    <row r="50" spans="1:9">
      <c r="A50" s="229" t="str">
        <f>IF(F50&gt;0,基础信息!$B$1,"")</f>
        <v/>
      </c>
      <c r="B50" s="276"/>
      <c r="E50" s="276"/>
      <c r="G50" t="str">
        <f t="shared" si="0"/>
        <v/>
      </c>
      <c r="I50" t="str">
        <f t="shared" si="2"/>
        <v/>
      </c>
    </row>
    <row r="51" spans="1:9">
      <c r="A51" s="229" t="str">
        <f>IF(F51&gt;0,基础信息!$B$1,"")</f>
        <v/>
      </c>
      <c r="B51" s="276"/>
      <c r="E51" s="276"/>
      <c r="G51" t="str">
        <f t="shared" si="0"/>
        <v/>
      </c>
      <c r="I51" t="str">
        <f t="shared" si="2"/>
        <v/>
      </c>
    </row>
    <row r="52" spans="1:9">
      <c r="A52" s="229" t="str">
        <f>IF(F52&gt;0,基础信息!$B$1,"")</f>
        <v/>
      </c>
      <c r="B52" s="276"/>
      <c r="E52" s="276"/>
      <c r="G52" t="str">
        <f t="shared" si="0"/>
        <v/>
      </c>
      <c r="I52" t="str">
        <f t="shared" si="2"/>
        <v/>
      </c>
    </row>
    <row r="53" spans="1:9">
      <c r="A53" s="229" t="str">
        <f>IF(F53&gt;0,基础信息!$B$1,"")</f>
        <v/>
      </c>
      <c r="B53" s="276"/>
      <c r="E53" s="276"/>
      <c r="G53" t="str">
        <f t="shared" si="0"/>
        <v/>
      </c>
      <c r="I53" t="str">
        <f t="shared" si="2"/>
        <v/>
      </c>
    </row>
    <row r="54" spans="1:9">
      <c r="A54" s="229" t="str">
        <f>IF(F54&gt;0,基础信息!$B$1,"")</f>
        <v/>
      </c>
      <c r="B54" s="276"/>
      <c r="E54" s="276"/>
      <c r="G54" t="str">
        <f t="shared" si="0"/>
        <v/>
      </c>
      <c r="I54" t="str">
        <f t="shared" si="2"/>
        <v/>
      </c>
    </row>
    <row r="55" spans="1:9">
      <c r="A55" s="229" t="str">
        <f>IF(F55&gt;0,基础信息!$B$1,"")</f>
        <v/>
      </c>
      <c r="B55" s="276"/>
      <c r="E55" s="276"/>
      <c r="G55" t="str">
        <f t="shared" si="0"/>
        <v/>
      </c>
      <c r="I55" t="str">
        <f t="shared" si="2"/>
        <v/>
      </c>
    </row>
    <row r="56" spans="1:9">
      <c r="A56" s="229" t="str">
        <f>IF(F56&gt;0,基础信息!$B$1,"")</f>
        <v/>
      </c>
      <c r="B56" s="276"/>
      <c r="E56" s="276"/>
      <c r="G56" t="str">
        <f t="shared" si="0"/>
        <v/>
      </c>
      <c r="I56" t="str">
        <f t="shared" si="2"/>
        <v/>
      </c>
    </row>
    <row r="57" spans="1:9">
      <c r="A57" s="229" t="str">
        <f>IF(F57&gt;0,基础信息!$B$1,"")</f>
        <v/>
      </c>
      <c r="B57" s="276"/>
      <c r="E57" s="276"/>
      <c r="G57" t="str">
        <f t="shared" si="0"/>
        <v/>
      </c>
      <c r="I57" t="str">
        <f t="shared" si="2"/>
        <v/>
      </c>
    </row>
    <row r="58" spans="1:9">
      <c r="A58" s="229" t="str">
        <f>IF(F58&gt;0,基础信息!$B$1,"")</f>
        <v/>
      </c>
      <c r="B58" s="276"/>
      <c r="E58" s="276"/>
      <c r="G58" t="str">
        <f t="shared" si="0"/>
        <v/>
      </c>
      <c r="I58" t="str">
        <f t="shared" si="2"/>
        <v/>
      </c>
    </row>
    <row r="59" spans="1:9">
      <c r="A59" s="229" t="str">
        <f>IF(F59&gt;0,基础信息!$B$1,"")</f>
        <v/>
      </c>
      <c r="B59" s="276"/>
      <c r="E59" s="276"/>
      <c r="G59" t="str">
        <f t="shared" si="0"/>
        <v/>
      </c>
      <c r="I59" t="str">
        <f t="shared" si="2"/>
        <v/>
      </c>
    </row>
    <row r="60" spans="1:9">
      <c r="A60" s="229" t="str">
        <f>IF(F60&gt;0,基础信息!$B$1,"")</f>
        <v/>
      </c>
      <c r="B60" s="276"/>
      <c r="E60" s="276"/>
      <c r="G60" t="str">
        <f t="shared" si="0"/>
        <v/>
      </c>
      <c r="I60" t="str">
        <f t="shared" si="2"/>
        <v/>
      </c>
    </row>
    <row r="61" spans="1:9">
      <c r="A61" s="229" t="str">
        <f>IF(F61&gt;0,基础信息!$B$1,"")</f>
        <v/>
      </c>
      <c r="B61" s="276"/>
      <c r="E61" s="276"/>
      <c r="G61" t="str">
        <f t="shared" si="0"/>
        <v/>
      </c>
      <c r="I61" t="str">
        <f t="shared" si="2"/>
        <v/>
      </c>
    </row>
    <row r="62" spans="1:9">
      <c r="A62" s="229" t="str">
        <f>IF(F62&gt;0,基础信息!$B$1,"")</f>
        <v/>
      </c>
      <c r="B62" s="276"/>
      <c r="E62" s="276"/>
      <c r="G62" t="str">
        <f t="shared" si="0"/>
        <v/>
      </c>
      <c r="I62" t="str">
        <f t="shared" si="2"/>
        <v/>
      </c>
    </row>
    <row r="63" spans="1:9">
      <c r="A63" s="229" t="str">
        <f>IF(F63&gt;0,基础信息!$B$1,"")</f>
        <v/>
      </c>
      <c r="B63" s="276"/>
      <c r="E63" s="276"/>
      <c r="G63" t="str">
        <f t="shared" si="0"/>
        <v/>
      </c>
      <c r="I63" t="str">
        <f t="shared" si="2"/>
        <v/>
      </c>
    </row>
    <row r="64" spans="1:9">
      <c r="A64" s="229" t="str">
        <f>IF(F64&gt;0,基础信息!$B$1,"")</f>
        <v/>
      </c>
      <c r="B64" s="276"/>
      <c r="E64" s="276"/>
      <c r="G64" t="str">
        <f t="shared" si="0"/>
        <v/>
      </c>
      <c r="I64" t="str">
        <f t="shared" si="2"/>
        <v/>
      </c>
    </row>
    <row r="65" spans="1:9">
      <c r="A65" s="229" t="str">
        <f>IF(F65&gt;0,基础信息!$B$1,"")</f>
        <v/>
      </c>
      <c r="B65" s="276"/>
      <c r="E65" s="276"/>
      <c r="G65" t="str">
        <f t="shared" si="0"/>
        <v/>
      </c>
      <c r="I65" t="str">
        <f t="shared" si="2"/>
        <v/>
      </c>
    </row>
    <row r="66" spans="1:9">
      <c r="A66" s="229" t="str">
        <f>IF(F66&gt;0,基础信息!$B$1,"")</f>
        <v/>
      </c>
      <c r="B66" s="276"/>
      <c r="E66" s="276"/>
      <c r="G66" t="str">
        <f t="shared" si="0"/>
        <v/>
      </c>
      <c r="I66" t="str">
        <f t="shared" si="2"/>
        <v/>
      </c>
    </row>
    <row r="67" spans="1:9">
      <c r="A67" s="229" t="str">
        <f>IF(F67&gt;0,基础信息!$B$1,"")</f>
        <v/>
      </c>
      <c r="B67" s="276"/>
      <c r="E67" s="276"/>
      <c r="G67" t="str">
        <f t="shared" ref="G67:G88" si="3">B67&amp;C67&amp;D67</f>
        <v/>
      </c>
      <c r="I67" t="str">
        <f t="shared" ref="I67:I119" si="4">C67&amp;D67&amp;E67</f>
        <v/>
      </c>
    </row>
    <row r="68" spans="1:9">
      <c r="A68" s="229" t="str">
        <f>IF(F68&gt;0,基础信息!$B$1,"")</f>
        <v/>
      </c>
      <c r="B68" s="276"/>
      <c r="E68" s="276"/>
      <c r="G68" t="str">
        <f t="shared" si="3"/>
        <v/>
      </c>
      <c r="I68" t="str">
        <f t="shared" si="4"/>
        <v/>
      </c>
    </row>
    <row r="69" spans="1:9">
      <c r="A69" s="229" t="str">
        <f>IF(F69&gt;0,基础信息!$B$1,"")</f>
        <v/>
      </c>
      <c r="B69" s="276"/>
      <c r="E69" s="276"/>
      <c r="G69" t="str">
        <f t="shared" si="3"/>
        <v/>
      </c>
      <c r="I69" t="str">
        <f t="shared" si="4"/>
        <v/>
      </c>
    </row>
    <row r="70" spans="1:9">
      <c r="A70" s="229" t="str">
        <f>IF(F70&gt;0,基础信息!$B$1,"")</f>
        <v/>
      </c>
      <c r="B70" s="276"/>
      <c r="E70" s="276"/>
      <c r="G70" t="str">
        <f t="shared" si="3"/>
        <v/>
      </c>
      <c r="I70" t="str">
        <f t="shared" si="4"/>
        <v/>
      </c>
    </row>
    <row r="71" spans="1:9">
      <c r="A71" s="229" t="str">
        <f>IF(F71&gt;0,基础信息!$B$1,"")</f>
        <v/>
      </c>
      <c r="B71" s="276"/>
      <c r="E71" s="276"/>
      <c r="G71" t="str">
        <f t="shared" si="3"/>
        <v/>
      </c>
      <c r="I71" t="str">
        <f t="shared" si="4"/>
        <v/>
      </c>
    </row>
    <row r="72" spans="1:9">
      <c r="A72" s="229" t="str">
        <f>IF(F72&gt;0,基础信息!$B$1,"")</f>
        <v/>
      </c>
      <c r="B72" s="276"/>
      <c r="E72" s="276"/>
      <c r="G72" t="str">
        <f t="shared" si="3"/>
        <v/>
      </c>
      <c r="I72" t="str">
        <f t="shared" si="4"/>
        <v/>
      </c>
    </row>
    <row r="73" spans="1:9">
      <c r="A73" s="229" t="str">
        <f>IF(F73&gt;0,基础信息!$B$1,"")</f>
        <v/>
      </c>
      <c r="B73" s="276"/>
      <c r="E73" s="276"/>
      <c r="G73" t="str">
        <f t="shared" si="3"/>
        <v/>
      </c>
      <c r="I73" t="str">
        <f t="shared" si="4"/>
        <v/>
      </c>
    </row>
    <row r="74" spans="1:9">
      <c r="A74" s="229" t="str">
        <f>IF(F74&gt;0,基础信息!$B$1,"")</f>
        <v/>
      </c>
      <c r="B74" s="276"/>
      <c r="E74" s="276"/>
      <c r="G74" t="str">
        <f t="shared" si="3"/>
        <v/>
      </c>
      <c r="I74" t="str">
        <f t="shared" si="4"/>
        <v/>
      </c>
    </row>
    <row r="75" spans="1:9">
      <c r="A75" s="229" t="str">
        <f>IF(F75&gt;0,基础信息!$B$1,"")</f>
        <v/>
      </c>
      <c r="B75" s="276"/>
      <c r="E75" s="276"/>
      <c r="G75" t="str">
        <f t="shared" si="3"/>
        <v/>
      </c>
      <c r="I75" t="str">
        <f t="shared" si="4"/>
        <v/>
      </c>
    </row>
    <row r="76" spans="1:9">
      <c r="A76" s="229" t="str">
        <f>IF(F76&gt;0,基础信息!$B$1,"")</f>
        <v/>
      </c>
      <c r="B76" s="276"/>
      <c r="E76" s="276"/>
      <c r="G76" t="str">
        <f t="shared" si="3"/>
        <v/>
      </c>
      <c r="I76" t="str">
        <f t="shared" si="4"/>
        <v/>
      </c>
    </row>
    <row r="77" spans="1:9">
      <c r="A77" s="229" t="str">
        <f>IF(F77&gt;0,基础信息!$B$1,"")</f>
        <v/>
      </c>
      <c r="B77" s="276"/>
      <c r="E77" s="276"/>
      <c r="G77" t="str">
        <f t="shared" si="3"/>
        <v/>
      </c>
      <c r="I77" t="str">
        <f t="shared" si="4"/>
        <v/>
      </c>
    </row>
    <row r="78" spans="1:9">
      <c r="A78" s="229" t="str">
        <f>IF(F78&gt;0,基础信息!$B$1,"")</f>
        <v/>
      </c>
      <c r="B78" s="276"/>
      <c r="E78" s="276"/>
      <c r="G78" t="str">
        <f t="shared" si="3"/>
        <v/>
      </c>
      <c r="I78" t="str">
        <f t="shared" si="4"/>
        <v/>
      </c>
    </row>
    <row r="79" spans="1:9">
      <c r="A79" s="229" t="str">
        <f>IF(F79&gt;0,基础信息!$B$1,"")</f>
        <v/>
      </c>
      <c r="B79" s="276"/>
      <c r="E79" s="276"/>
      <c r="G79" t="str">
        <f t="shared" si="3"/>
        <v/>
      </c>
      <c r="I79" t="str">
        <f t="shared" si="4"/>
        <v/>
      </c>
    </row>
    <row r="80" spans="1:9">
      <c r="A80" s="229" t="str">
        <f>IF(F80&gt;0,基础信息!$B$1,"")</f>
        <v/>
      </c>
      <c r="B80" s="276"/>
      <c r="E80" s="276"/>
      <c r="G80" t="str">
        <f t="shared" si="3"/>
        <v/>
      </c>
      <c r="I80" t="str">
        <f t="shared" si="4"/>
        <v/>
      </c>
    </row>
    <row r="81" spans="1:9">
      <c r="A81" s="229" t="str">
        <f>IF(F81&gt;0,基础信息!$B$1,"")</f>
        <v/>
      </c>
      <c r="B81" s="276"/>
      <c r="E81" s="276"/>
      <c r="G81" t="str">
        <f t="shared" si="3"/>
        <v/>
      </c>
      <c r="I81" t="str">
        <f t="shared" si="4"/>
        <v/>
      </c>
    </row>
    <row r="82" spans="1:9">
      <c r="A82" s="229" t="str">
        <f>IF(F82&gt;0,基础信息!$B$1,"")</f>
        <v/>
      </c>
      <c r="B82" s="276"/>
      <c r="E82" s="276"/>
      <c r="G82" t="str">
        <f t="shared" si="3"/>
        <v/>
      </c>
      <c r="I82" t="str">
        <f t="shared" si="4"/>
        <v/>
      </c>
    </row>
    <row r="83" spans="1:9">
      <c r="A83" s="229" t="str">
        <f>IF(F83&gt;0,基础信息!$B$1,"")</f>
        <v/>
      </c>
      <c r="B83" s="276"/>
      <c r="E83" s="276"/>
      <c r="G83" t="str">
        <f t="shared" si="3"/>
        <v/>
      </c>
      <c r="I83" t="str">
        <f t="shared" si="4"/>
        <v/>
      </c>
    </row>
    <row r="84" spans="1:9">
      <c r="A84" s="229" t="str">
        <f>IF(F84&gt;0,基础信息!$B$1,"")</f>
        <v/>
      </c>
      <c r="B84" s="276"/>
      <c r="E84" s="276"/>
      <c r="G84" t="str">
        <f t="shared" si="3"/>
        <v/>
      </c>
      <c r="I84" t="str">
        <f t="shared" si="4"/>
        <v/>
      </c>
    </row>
    <row r="85" spans="1:9">
      <c r="A85" s="229" t="str">
        <f>IF(F85&gt;0,基础信息!$B$1,"")</f>
        <v/>
      </c>
      <c r="B85" s="276"/>
      <c r="E85" s="276"/>
      <c r="G85" t="str">
        <f t="shared" si="3"/>
        <v/>
      </c>
      <c r="I85" t="str">
        <f t="shared" si="4"/>
        <v/>
      </c>
    </row>
    <row r="86" spans="1:9">
      <c r="A86" s="229" t="str">
        <f>IF(F86&gt;0,基础信息!$B$1,"")</f>
        <v/>
      </c>
      <c r="B86" s="276"/>
      <c r="E86" s="276"/>
      <c r="G86" t="str">
        <f t="shared" si="3"/>
        <v/>
      </c>
      <c r="I86" t="str">
        <f t="shared" si="4"/>
        <v/>
      </c>
    </row>
    <row r="87" spans="1:9">
      <c r="A87" s="229" t="str">
        <f>IF(F87&gt;0,基础信息!$B$1,"")</f>
        <v/>
      </c>
      <c r="B87" s="276"/>
      <c r="E87" s="276"/>
      <c r="G87" t="str">
        <f t="shared" si="3"/>
        <v/>
      </c>
      <c r="I87" t="str">
        <f t="shared" si="4"/>
        <v/>
      </c>
    </row>
    <row r="88" spans="1:9">
      <c r="A88" s="229" t="str">
        <f>IF(F88&gt;0,基础信息!$B$1,"")</f>
        <v/>
      </c>
      <c r="B88" s="276"/>
      <c r="E88" s="276"/>
      <c r="G88" t="str">
        <f t="shared" si="3"/>
        <v/>
      </c>
      <c r="I88" t="str">
        <f t="shared" si="4"/>
        <v/>
      </c>
    </row>
    <row r="89" spans="1:9">
      <c r="A89" s="229" t="str">
        <f>IF(F89&gt;0,基础信息!$B$1,"")</f>
        <v/>
      </c>
      <c r="B89" s="276"/>
      <c r="E89" s="276"/>
      <c r="I89" t="str">
        <f t="shared" si="4"/>
        <v/>
      </c>
    </row>
    <row r="90" spans="1:9">
      <c r="A90" s="229" t="str">
        <f>IF(F90&gt;0,基础信息!$B$1,"")</f>
        <v/>
      </c>
      <c r="B90" s="276"/>
      <c r="E90" s="276"/>
      <c r="I90" t="str">
        <f t="shared" si="4"/>
        <v/>
      </c>
    </row>
    <row r="91" spans="1:9">
      <c r="A91" s="229" t="str">
        <f>IF(F91&gt;0,基础信息!$B$1,"")</f>
        <v/>
      </c>
      <c r="B91" s="276"/>
      <c r="E91" s="276"/>
      <c r="I91" t="str">
        <f t="shared" si="4"/>
        <v/>
      </c>
    </row>
    <row r="92" spans="1:9">
      <c r="A92" s="229" t="str">
        <f>IF(F92&gt;0,基础信息!$B$1,"")</f>
        <v/>
      </c>
      <c r="B92" s="276"/>
      <c r="E92" s="276"/>
      <c r="I92" t="str">
        <f t="shared" si="4"/>
        <v/>
      </c>
    </row>
    <row r="93" spans="1:9">
      <c r="A93" s="229" t="str">
        <f>IF(F93&gt;0,基础信息!$B$1,"")</f>
        <v/>
      </c>
      <c r="B93" s="276"/>
      <c r="E93" s="276"/>
      <c r="I93" t="str">
        <f t="shared" si="4"/>
        <v/>
      </c>
    </row>
    <row r="94" spans="1:9">
      <c r="A94" s="229" t="str">
        <f>IF(F94&gt;0,基础信息!$B$1,"")</f>
        <v/>
      </c>
      <c r="B94" s="276"/>
      <c r="E94" s="276"/>
      <c r="I94" t="str">
        <f t="shared" si="4"/>
        <v/>
      </c>
    </row>
    <row r="95" spans="1:9">
      <c r="A95" s="229" t="str">
        <f>IF(F95&gt;0,基础信息!$B$1,"")</f>
        <v/>
      </c>
      <c r="B95" s="276"/>
      <c r="E95" s="276"/>
      <c r="I95" t="str">
        <f t="shared" si="4"/>
        <v/>
      </c>
    </row>
    <row r="96" spans="1:9">
      <c r="A96" s="229" t="str">
        <f>IF(F96&gt;0,基础信息!$B$1,"")</f>
        <v/>
      </c>
      <c r="B96" s="276"/>
      <c r="E96" s="276"/>
      <c r="I96" t="str">
        <f t="shared" si="4"/>
        <v/>
      </c>
    </row>
    <row r="97" spans="1:9">
      <c r="A97" s="229" t="str">
        <f>IF(F97&gt;0,基础信息!$B$1,"")</f>
        <v/>
      </c>
      <c r="B97" s="276"/>
      <c r="E97" s="276"/>
      <c r="I97" t="str">
        <f t="shared" si="4"/>
        <v/>
      </c>
    </row>
    <row r="98" spans="1:9">
      <c r="A98" s="229" t="str">
        <f>IF(F98&gt;0,基础信息!$B$1,"")</f>
        <v/>
      </c>
      <c r="B98" s="276"/>
      <c r="E98" s="276"/>
      <c r="I98" t="str">
        <f t="shared" si="4"/>
        <v/>
      </c>
    </row>
    <row r="99" spans="1:9">
      <c r="A99" s="229" t="str">
        <f>IF(F99&gt;0,基础信息!$B$1,"")</f>
        <v/>
      </c>
      <c r="B99" s="276"/>
      <c r="E99" s="276"/>
      <c r="I99" t="str">
        <f t="shared" si="4"/>
        <v/>
      </c>
    </row>
    <row r="100" spans="1:9">
      <c r="A100" s="229" t="str">
        <f>IF(F100&gt;0,基础信息!$B$1,"")</f>
        <v/>
      </c>
      <c r="B100" s="276"/>
      <c r="E100" s="276"/>
      <c r="I100" t="str">
        <f t="shared" si="4"/>
        <v/>
      </c>
    </row>
    <row r="101" spans="1:9">
      <c r="A101" s="229" t="str">
        <f>IF(F101&gt;0,基础信息!$B$1,"")</f>
        <v/>
      </c>
      <c r="B101" s="276"/>
      <c r="E101" s="276"/>
      <c r="I101" t="str">
        <f t="shared" si="4"/>
        <v/>
      </c>
    </row>
    <row r="102" spans="1:9">
      <c r="A102" s="229" t="str">
        <f>IF(F102&gt;0,基础信息!$B$1,"")</f>
        <v/>
      </c>
      <c r="B102" s="276"/>
      <c r="E102" s="276"/>
      <c r="I102" t="str">
        <f t="shared" si="4"/>
        <v/>
      </c>
    </row>
    <row r="103" spans="1:9">
      <c r="A103" s="229" t="str">
        <f>IF(F103&gt;0,基础信息!$B$1,"")</f>
        <v/>
      </c>
      <c r="B103" s="276"/>
      <c r="E103" s="276"/>
      <c r="I103" t="str">
        <f t="shared" si="4"/>
        <v/>
      </c>
    </row>
    <row r="104" spans="1:9">
      <c r="A104" s="229" t="str">
        <f>IF(F104&gt;0,基础信息!$B$1,"")</f>
        <v/>
      </c>
      <c r="B104" s="276"/>
      <c r="E104" s="276"/>
      <c r="I104" t="str">
        <f t="shared" si="4"/>
        <v/>
      </c>
    </row>
    <row r="105" spans="1:9">
      <c r="A105" s="229" t="str">
        <f>IF(F105&gt;0,基础信息!$B$1,"")</f>
        <v/>
      </c>
      <c r="B105" s="276"/>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分类表!$22:$22</xm:f>
          </x14:formula1>
          <xm:sqref>C15:C23</xm:sqref>
        </x14:dataValidation>
        <x14:dataValidation type="list" allowBlank="1" showInputMessage="1" showErrorMessage="1" xr:uid="{AC55FD66-A6B8-4B77-9E4B-18F43182CBE9}">
          <x14:formula1>
            <xm:f>分类表!$73:$73</xm:f>
          </x14:formula1>
          <xm:sqref>D2:D34</xm:sqref>
        </x14:dataValidation>
        <x14:dataValidation type="list" allowBlank="1" showInputMessage="1" showErrorMessage="1" xr:uid="{17F4F894-8C02-46A3-9628-8952D0028460}">
          <x14:formula1>
            <xm:f>分类表!$24:$24</xm:f>
          </x14:formula1>
          <xm:sqref>C2:C30</xm:sqref>
        </x14:dataValidation>
        <x14:dataValidation type="list" allowBlank="1" showInputMessage="1" showErrorMessage="1" xr:uid="{C1ABA573-A2AC-4B4F-80D6-C1384DFADA41}">
          <x14:formula1>
            <xm:f>分类表!$29:$29</xm:f>
          </x14:formula1>
          <xm:sqref>B2:B105</xm:sqref>
        </x14:dataValidation>
        <x14:dataValidation type="list" allowBlank="1" showInputMessage="1" showErrorMessage="1" xr:uid="{72B0D20F-6D01-475E-9A01-C8657555CDDC}">
          <x14:formula1>
            <xm:f>分类表!$79:$79</xm:f>
          </x14:formula1>
          <xm:sqref>E2:E109</xm:sqref>
        </x14:dataValidation>
      </x14:dataValidations>
    </ext>
  </extLst>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codeName="Sheet226">
    <tabColor rgb="FFFFC000"/>
  </sheetPr>
  <dimension ref="A1:F36"/>
  <sheetViews>
    <sheetView workbookViewId="0">
      <pane xSplit="1" ySplit="1" topLeftCell="B17" activePane="bottomRight" state="frozen"/>
      <selection activeCell="D22" sqref="D22"/>
      <selection pane="topRight" activeCell="D22" sqref="D22"/>
      <selection pane="bottomLeft" activeCell="D22" sqref="D22"/>
      <selection pane="bottomRight" activeCell="B3" sqref="B3:F13 B15:F23 B25:F32 B34:F35"/>
    </sheetView>
  </sheetViews>
  <sheetFormatPr defaultRowHeight="13.8"/>
  <cols>
    <col min="1" max="1" width="28.21875" style="150" bestFit="1" customWidth="1"/>
    <col min="2" max="2" width="16.6640625" style="136" customWidth="1"/>
    <col min="3" max="3" width="11" style="136" customWidth="1"/>
    <col min="4" max="4" width="14" style="136" customWidth="1"/>
    <col min="5" max="5" width="14.44140625" style="136" customWidth="1"/>
    <col min="6" max="6" width="15.6640625" style="136" customWidth="1"/>
    <col min="7" max="16384" width="8.88671875" style="150"/>
  </cols>
  <sheetData>
    <row r="1" spans="1:6" ht="14.4">
      <c r="A1" s="294" t="s">
        <v>28</v>
      </c>
      <c r="B1" s="305" t="s">
        <v>422</v>
      </c>
      <c r="C1" s="305" t="s">
        <v>467</v>
      </c>
      <c r="D1" s="305" t="s">
        <v>468</v>
      </c>
      <c r="E1" s="305" t="s">
        <v>469</v>
      </c>
      <c r="F1" s="305" t="s">
        <v>204</v>
      </c>
    </row>
    <row r="2" spans="1:6" ht="14.4">
      <c r="A2" s="73" t="s">
        <v>424</v>
      </c>
      <c r="B2" s="293"/>
      <c r="C2" s="293"/>
      <c r="D2" s="293"/>
      <c r="E2" s="293"/>
      <c r="F2" s="293"/>
    </row>
    <row r="3" spans="1:6" ht="14.4">
      <c r="A3" s="533" t="s">
        <v>465</v>
      </c>
      <c r="B3" s="293">
        <f>ROUND(SUMIF(无形资产明细表!$H:$H,B$1&amp;"原值期初数",无形资产明细表!$F:$F),2)</f>
        <v>0</v>
      </c>
      <c r="C3" s="293">
        <f>ROUND(SUMIF(无形资产明细表!$H:$H,C$1&amp;"原值期初数",无形资产明细表!$F:$F),2)</f>
        <v>0</v>
      </c>
      <c r="D3" s="293">
        <f>ROUND(SUMIF(无形资产明细表!$H:$H,D$1&amp;"原值期初数",无形资产明细表!$F:$F),2)</f>
        <v>0</v>
      </c>
      <c r="E3" s="293">
        <f>ROUND(SUMIF(无形资产明细表!$H:$H,E$1&amp;"原值期初数",无形资产明细表!$F:$F),2)</f>
        <v>0</v>
      </c>
      <c r="F3" s="293">
        <f t="shared" ref="F3:F12" si="0">ROUND(SUM(B3:E3),2)</f>
        <v>0</v>
      </c>
    </row>
    <row r="4" spans="1:6" ht="14.4">
      <c r="A4" s="533" t="s">
        <v>425</v>
      </c>
      <c r="B4" s="293">
        <f>ROUND(SUM(B5:B9),2)</f>
        <v>0</v>
      </c>
      <c r="C4" s="293">
        <f>ROUND(SUM(C5:C9),2)</f>
        <v>0</v>
      </c>
      <c r="D4" s="293">
        <f>ROUND(SUM(D5:D9),2)</f>
        <v>0</v>
      </c>
      <c r="E4" s="293">
        <f>ROUND(SUM(E5:E9),2)</f>
        <v>0</v>
      </c>
      <c r="F4" s="293">
        <f t="shared" si="0"/>
        <v>0</v>
      </c>
    </row>
    <row r="5" spans="1:6" ht="14.4">
      <c r="A5" s="551" t="s">
        <v>3759</v>
      </c>
      <c r="B5" s="293">
        <f>ROUND(SUMIF(无形资产明细表!$H:$H,B$1&amp;"原值本期增加"&amp;REPLACE($A5,1,3,""),无形资产明细表!$F:$F),2)</f>
        <v>0</v>
      </c>
      <c r="C5" s="293">
        <f>ROUND(SUMIF(无形资产明细表!$H:$H,C$1&amp;"原值本期增加"&amp;REPLACE($A5,1,3,""),无形资产明细表!$F:$F),2)</f>
        <v>0</v>
      </c>
      <c r="D5" s="293">
        <f>ROUND(SUMIF(无形资产明细表!$H:$H,D$1&amp;"原值本期增加"&amp;REPLACE($A5,1,3,""),无形资产明细表!$F:$F),2)</f>
        <v>0</v>
      </c>
      <c r="E5" s="293">
        <f>ROUND(SUMIF(无形资产明细表!$H:$H,E$1&amp;"原值本期增加"&amp;REPLACE($A5,1,3,""),无形资产明细表!$F:$F),2)</f>
        <v>0</v>
      </c>
      <c r="F5" s="293">
        <f t="shared" si="0"/>
        <v>0</v>
      </c>
    </row>
    <row r="6" spans="1:6" ht="15.6">
      <c r="A6" s="551" t="s">
        <v>3792</v>
      </c>
      <c r="B6" s="293">
        <f>ROUND(SUMIF(无形资产明细表!$H:$H,B$1&amp;"原值本期增加"&amp;REPLACE($A6,1,3,""),无形资产明细表!$F:$F),2)</f>
        <v>0</v>
      </c>
      <c r="C6" s="293">
        <f>ROUND(SUMIF(无形资产明细表!$H:$H,C$1&amp;"原值本期增加"&amp;REPLACE($A6,1,3,""),无形资产明细表!$F:$F),2)</f>
        <v>0</v>
      </c>
      <c r="D6" s="293">
        <f>ROUND(SUMIF(无形资产明细表!$H:$H,D$1&amp;"原值本期增加"&amp;REPLACE($A6,1,3,""),无形资产明细表!$F:$F),2)</f>
        <v>0</v>
      </c>
      <c r="E6" s="293">
        <f>ROUND(SUMIF(无形资产明细表!$H:$H,E$1&amp;"原值本期增加"&amp;REPLACE($A6,1,3,""),无形资产明细表!$F:$F),2)</f>
        <v>0</v>
      </c>
      <c r="F6" s="293">
        <f t="shared" si="0"/>
        <v>0</v>
      </c>
    </row>
    <row r="7" spans="1:6" ht="14.4">
      <c r="A7" s="551" t="s">
        <v>3761</v>
      </c>
      <c r="B7" s="293">
        <f>ROUND(SUMIF(无形资产明细表!$H:$H,B$1&amp;"原值本期增加"&amp;REPLACE($A7,1,3,""),无形资产明细表!$F:$F),2)</f>
        <v>0</v>
      </c>
      <c r="C7" s="293">
        <f>ROUND(SUMIF(无形资产明细表!$H:$H,C$1&amp;"原值本期增加"&amp;REPLACE($A7,1,3,""),无形资产明细表!$F:$F),2)</f>
        <v>0</v>
      </c>
      <c r="D7" s="293">
        <f>ROUND(SUMIF(无形资产明细表!$H:$H,D$1&amp;"原值本期增加"&amp;REPLACE($A7,1,3,""),无形资产明细表!$F:$F),2)</f>
        <v>0</v>
      </c>
      <c r="E7" s="293">
        <f>ROUND(SUMIF(无形资产明细表!$H:$H,E$1&amp;"原值本期增加"&amp;REPLACE($A7,1,3,""),无形资产明细表!$F:$F),2)</f>
        <v>0</v>
      </c>
      <c r="F7" s="293">
        <f t="shared" si="0"/>
        <v>0</v>
      </c>
    </row>
    <row r="8" spans="1:6" ht="15.6">
      <c r="A8" s="551" t="s">
        <v>3793</v>
      </c>
      <c r="B8" s="293">
        <f>ROUND(SUMIF(无形资产明细表!$H:$H,B$1&amp;"原值本期增加"&amp;REPLACE($A8,1,3,""),无形资产明细表!$F:$F),2)</f>
        <v>0</v>
      </c>
      <c r="C8" s="293">
        <f>ROUND(SUMIF(无形资产明细表!$H:$H,C$1&amp;"原值本期增加"&amp;REPLACE($A8,1,3,""),无形资产明细表!$F:$F),2)</f>
        <v>0</v>
      </c>
      <c r="D8" s="293">
        <f>ROUND(SUMIF(无形资产明细表!$H:$H,D$1&amp;"原值本期增加"&amp;REPLACE($A8,1,3,""),无形资产明细表!$F:$F),2)</f>
        <v>0</v>
      </c>
      <c r="E8" s="293">
        <f>ROUND(SUMIF(无形资产明细表!$H:$H,E$1&amp;"原值本期增加"&amp;REPLACE($A8,1,3,""),无形资产明细表!$F:$F),2)</f>
        <v>0</v>
      </c>
      <c r="F8" s="293">
        <f t="shared" si="0"/>
        <v>0</v>
      </c>
    </row>
    <row r="9" spans="1:6" ht="15.6">
      <c r="A9" s="551" t="s">
        <v>3789</v>
      </c>
      <c r="B9" s="293">
        <f>ROUND(SUMIF(无形资产明细表!$H:$H,B$1&amp;"原值本期增加"&amp;REPLACE($A9,1,3,""),无形资产明细表!$F:$F),2)</f>
        <v>0</v>
      </c>
      <c r="C9" s="293">
        <f>ROUND(SUMIF(无形资产明细表!$H:$H,C$1&amp;"原值本期增加"&amp;REPLACE($A9,1,3,""),无形资产明细表!$F:$F),2)</f>
        <v>0</v>
      </c>
      <c r="D9" s="293">
        <f>ROUND(SUMIF(无形资产明细表!$H:$H,D$1&amp;"原值本期增加"&amp;REPLACE($A9,1,3,""),无形资产明细表!$F:$F),2)</f>
        <v>0</v>
      </c>
      <c r="E9" s="293">
        <f>ROUND(SUMIF(无形资产明细表!$H:$H,E$1&amp;"原值本期增加"&amp;REPLACE($A9,1,3,""),无形资产明细表!$F:$F),2)</f>
        <v>0</v>
      </c>
      <c r="F9" s="293">
        <f t="shared" si="0"/>
        <v>0</v>
      </c>
    </row>
    <row r="10" spans="1:6" ht="14.4">
      <c r="A10" s="533" t="s">
        <v>426</v>
      </c>
      <c r="B10" s="293">
        <f>ROUND(SUM(B11:B12),2)</f>
        <v>0</v>
      </c>
      <c r="C10" s="293">
        <f>ROUND(SUM(C11:C12),2)</f>
        <v>0</v>
      </c>
      <c r="D10" s="293">
        <f>ROUND(SUM(D11:D12),2)</f>
        <v>0</v>
      </c>
      <c r="E10" s="293">
        <f>ROUND(SUM(E11:E12),2)</f>
        <v>0</v>
      </c>
      <c r="F10" s="293">
        <f t="shared" si="0"/>
        <v>0</v>
      </c>
    </row>
    <row r="11" spans="1:6" ht="14.4">
      <c r="A11" s="551" t="s">
        <v>3763</v>
      </c>
      <c r="B11" s="293">
        <f>ROUND(SUMIF(无形资产明细表!$H:$H,B$1&amp;"原值本期减少"&amp;REPLACE($A11,1,3,""),无形资产明细表!$F:$F),2)</f>
        <v>0</v>
      </c>
      <c r="C11" s="293">
        <f>ROUND(SUMIF(无形资产明细表!$H:$H,C$1&amp;"原值本期减少"&amp;REPLACE($A11,1,3,""),无形资产明细表!$F:$F),2)</f>
        <v>0</v>
      </c>
      <c r="D11" s="293">
        <f>ROUND(SUMIF(无形资产明细表!$H:$H,D$1&amp;"原值本期减少"&amp;REPLACE($A11,1,3,""),无形资产明细表!$F:$F),2)</f>
        <v>0</v>
      </c>
      <c r="E11" s="293">
        <f>ROUND(SUMIF(无形资产明细表!$H:$H,E$1&amp;"原值本期减少"&amp;REPLACE($A11,1,3,""),无形资产明细表!$F:$F),2)</f>
        <v>0</v>
      </c>
      <c r="F11" s="293">
        <f t="shared" si="0"/>
        <v>0</v>
      </c>
    </row>
    <row r="12" spans="1:6" ht="15.6">
      <c r="A12" s="551" t="s">
        <v>3789</v>
      </c>
      <c r="B12" s="293">
        <f>ROUND(SUMIF(无形资产明细表!$H:$H,B$1&amp;"原值本期减少"&amp;REPLACE($A12,1,3,""),无形资产明细表!$F:$F),2)</f>
        <v>0</v>
      </c>
      <c r="C12" s="293">
        <f>ROUND(SUMIF(无形资产明细表!$H:$H,C$1&amp;"原值本期减少"&amp;REPLACE($A12,1,3,""),无形资产明细表!$F:$F),2)</f>
        <v>0</v>
      </c>
      <c r="D12" s="293">
        <f>ROUND(SUMIF(无形资产明细表!$H:$H,D$1&amp;"原值本期减少"&amp;REPLACE($A12,1,3,""),无形资产明细表!$F:$F),2)</f>
        <v>0</v>
      </c>
      <c r="E12" s="293">
        <f>ROUND(SUMIF(无形资产明细表!$H:$H,E$1&amp;"原值本期减少"&amp;REPLACE($A12,1,3,""),无形资产明细表!$F:$F),2)</f>
        <v>0</v>
      </c>
      <c r="F12" s="293">
        <f t="shared" si="0"/>
        <v>0</v>
      </c>
    </row>
    <row r="13" spans="1:6" ht="14.4">
      <c r="A13" s="533" t="s">
        <v>427</v>
      </c>
      <c r="B13" s="293">
        <f>ROUND(B3+B4-B10,2)</f>
        <v>0</v>
      </c>
      <c r="C13" s="293">
        <f>ROUND(C3+C4-C10,2)</f>
        <v>0</v>
      </c>
      <c r="D13" s="293">
        <f>ROUND(D3+D4-D10,2)</f>
        <v>0</v>
      </c>
      <c r="E13" s="293">
        <f>ROUND(E3+E4-E10,2)</f>
        <v>0</v>
      </c>
      <c r="F13" s="293">
        <f>ROUND(F3+F4-F10,2)</f>
        <v>0</v>
      </c>
    </row>
    <row r="14" spans="1:6" ht="14.4">
      <c r="A14" s="73" t="s">
        <v>470</v>
      </c>
      <c r="B14" s="293"/>
      <c r="C14" s="293"/>
      <c r="D14" s="293"/>
      <c r="E14" s="293"/>
      <c r="F14" s="293"/>
    </row>
    <row r="15" spans="1:6" ht="14.4">
      <c r="A15" s="533" t="s">
        <v>465</v>
      </c>
      <c r="B15" s="293">
        <f>ROUND(SUMIF(无形资产明细表!$H:$H,B$1&amp;"累计折旧期初数",无形资产明细表!$F:$F),2)</f>
        <v>0</v>
      </c>
      <c r="C15" s="293">
        <f>ROUND(SUMIF(无形资产明细表!$H:$H,C$1&amp;"累计折旧期初数",无形资产明细表!$F:$F),2)</f>
        <v>0</v>
      </c>
      <c r="D15" s="293">
        <f>ROUND(SUMIF(无形资产明细表!$H:$H,D$1&amp;"累计折旧期初数",无形资产明细表!$F:$F),2)</f>
        <v>0</v>
      </c>
      <c r="E15" s="293">
        <f>ROUND(SUMIF(无形资产明细表!$H:$H,E$1&amp;"累计折旧期初数",无形资产明细表!$F:$F),2)</f>
        <v>0</v>
      </c>
      <c r="F15" s="293">
        <f t="shared" ref="F15:F23" si="1">ROUND(SUM(B15:E15),2)</f>
        <v>0</v>
      </c>
    </row>
    <row r="16" spans="1:6" ht="14.4">
      <c r="A16" s="533" t="s">
        <v>425</v>
      </c>
      <c r="B16" s="293">
        <f>ROUND(SUM(B17:B19),2)</f>
        <v>0</v>
      </c>
      <c r="C16" s="293">
        <f>ROUND(SUM(C17:C19),2)</f>
        <v>0</v>
      </c>
      <c r="D16" s="293">
        <f>ROUND(SUM(D17:D19),2)</f>
        <v>0</v>
      </c>
      <c r="E16" s="293">
        <f>ROUND(SUM(E17:E19),2)</f>
        <v>0</v>
      </c>
      <c r="F16" s="293">
        <f t="shared" si="1"/>
        <v>0</v>
      </c>
    </row>
    <row r="17" spans="1:6" ht="14.4">
      <c r="A17" s="551" t="s">
        <v>3779</v>
      </c>
      <c r="B17" s="293">
        <f>ROUND(SUMIF(无形资产明细表!$H:$H,B$1&amp;"累计折旧本期增加"&amp;REPLACE($A17,1,3,""),无形资产明细表!$F:$F),2)</f>
        <v>0</v>
      </c>
      <c r="C17" s="293">
        <f>ROUND(SUMIF(无形资产明细表!$H:$H,C$1&amp;"累计折旧本期增加"&amp;REPLACE($A17,1,3,""),无形资产明细表!$F:$F),2)</f>
        <v>0</v>
      </c>
      <c r="D17" s="293">
        <f>ROUND(SUMIF(无形资产明细表!$H:$H,D$1&amp;"累计折旧本期增加"&amp;REPLACE($A17,1,3,""),无形资产明细表!$F:$F),2)</f>
        <v>0</v>
      </c>
      <c r="E17" s="293">
        <f>ROUND(SUMIF(无形资产明细表!$H:$H,E$1&amp;"累计折旧本期增加"&amp;REPLACE($A17,1,3,""),无形资产明细表!$F:$F),2)</f>
        <v>0</v>
      </c>
      <c r="F17" s="293">
        <f t="shared" si="1"/>
        <v>0</v>
      </c>
    </row>
    <row r="18" spans="1:6" ht="15.6">
      <c r="A18" s="551" t="s">
        <v>3793</v>
      </c>
      <c r="B18" s="293">
        <f>ROUND(SUMIF(无形资产明细表!$H:$H,B$1&amp;"累计折旧本期增加"&amp;REPLACE($A18,1,3,""),无形资产明细表!$F:$F),2)</f>
        <v>0</v>
      </c>
      <c r="C18" s="293">
        <f>ROUND(SUMIF(无形资产明细表!$H:$H,C$1&amp;"累计折旧本期增加"&amp;REPLACE($A18,1,3,""),无形资产明细表!$F:$F),2)</f>
        <v>0</v>
      </c>
      <c r="D18" s="293">
        <f>ROUND(SUMIF(无形资产明细表!$H:$H,D$1&amp;"累计折旧本期增加"&amp;REPLACE($A18,1,3,""),无形资产明细表!$F:$F),2)</f>
        <v>0</v>
      </c>
      <c r="E18" s="293">
        <f>ROUND(SUMIF(无形资产明细表!$H:$H,E$1&amp;"累计折旧本期增加"&amp;REPLACE($A18,1,3,""),无形资产明细表!$F:$F),2)</f>
        <v>0</v>
      </c>
      <c r="F18" s="293">
        <f t="shared" si="1"/>
        <v>0</v>
      </c>
    </row>
    <row r="19" spans="1:6" ht="15.6">
      <c r="A19" s="551" t="s">
        <v>3789</v>
      </c>
      <c r="B19" s="293">
        <f>ROUND(SUMIF(无形资产明细表!$H:$H,B$1&amp;"累计折旧本期增加"&amp;REPLACE($A19,1,3,""),无形资产明细表!$F:$F),2)</f>
        <v>0</v>
      </c>
      <c r="C19" s="293">
        <f>ROUND(SUMIF(无形资产明细表!$H:$H,C$1&amp;"累计折旧本期增加"&amp;REPLACE($A19,1,3,""),无形资产明细表!$F:$F),2)</f>
        <v>0</v>
      </c>
      <c r="D19" s="293">
        <f>ROUND(SUMIF(无形资产明细表!$H:$H,D$1&amp;"累计折旧本期增加"&amp;REPLACE($A19,1,3,""),无形资产明细表!$F:$F),2)</f>
        <v>0</v>
      </c>
      <c r="E19" s="293">
        <f>ROUND(SUMIF(无形资产明细表!$H:$H,E$1&amp;"累计折旧本期增加"&amp;REPLACE($A19,1,3,""),无形资产明细表!$F:$F),2)</f>
        <v>0</v>
      </c>
      <c r="F19" s="293">
        <f t="shared" si="1"/>
        <v>0</v>
      </c>
    </row>
    <row r="20" spans="1:6" ht="14.4">
      <c r="A20" s="533" t="s">
        <v>426</v>
      </c>
      <c r="B20" s="293">
        <f>ROUND(SUM(B21:B22),2)</f>
        <v>0</v>
      </c>
      <c r="C20" s="293">
        <f>ROUND(SUM(C21:C22),2)</f>
        <v>0</v>
      </c>
      <c r="D20" s="293">
        <f>ROUND(SUM(D21:D22),2)</f>
        <v>0</v>
      </c>
      <c r="E20" s="293">
        <f>ROUND(SUM(E21:E22),2)</f>
        <v>0</v>
      </c>
      <c r="F20" s="293">
        <f t="shared" si="1"/>
        <v>0</v>
      </c>
    </row>
    <row r="21" spans="1:6" ht="14.4">
      <c r="A21" s="551" t="s">
        <v>3763</v>
      </c>
      <c r="B21" s="293">
        <f>ROUND(SUMIF(无形资产明细表!$H:$H,B$1&amp;"累计折旧本期减少"&amp;REPLACE($A21,1,3,""),无形资产明细表!$F:$F),2)</f>
        <v>0</v>
      </c>
      <c r="C21" s="293">
        <f>ROUND(SUMIF(无形资产明细表!$H:$H,C$1&amp;"累计折旧本期减少"&amp;REPLACE($A21,1,3,""),无形资产明细表!$F:$F),2)</f>
        <v>0</v>
      </c>
      <c r="D21" s="293">
        <f>ROUND(SUMIF(无形资产明细表!$H:$H,D$1&amp;"累计折旧本期减少"&amp;REPLACE($A21,1,3,""),无形资产明细表!$F:$F),2)</f>
        <v>0</v>
      </c>
      <c r="E21" s="293">
        <f>ROUND(SUMIF(无形资产明细表!$H:$H,E$1&amp;"累计折旧本期减少"&amp;REPLACE($A21,1,3,""),无形资产明细表!$F:$F),2)</f>
        <v>0</v>
      </c>
      <c r="F21" s="293">
        <f t="shared" si="1"/>
        <v>0</v>
      </c>
    </row>
    <row r="22" spans="1:6" ht="15.6">
      <c r="A22" s="551" t="s">
        <v>3789</v>
      </c>
      <c r="B22" s="293">
        <f>ROUND(SUMIF(无形资产明细表!$H:$H,B$1&amp;"累计折旧本期减少"&amp;REPLACE($A22,1,3,""),无形资产明细表!$F:$F),2)</f>
        <v>0</v>
      </c>
      <c r="C22" s="293">
        <f>ROUND(SUMIF(无形资产明细表!$H:$H,C$1&amp;"累计折旧本期减少"&amp;REPLACE($A22,1,3,""),无形资产明细表!$F:$F),2)</f>
        <v>0</v>
      </c>
      <c r="D22" s="293">
        <f>ROUND(SUMIF(无形资产明细表!$H:$H,D$1&amp;"累计折旧本期减少"&amp;REPLACE($A22,1,3,""),无形资产明细表!$F:$F),2)</f>
        <v>0</v>
      </c>
      <c r="E22" s="293">
        <f>ROUND(SUMIF(无形资产明细表!$H:$H,E$1&amp;"累计折旧本期减少"&amp;REPLACE($A22,1,3,""),无形资产明细表!$F:$F),2)</f>
        <v>0</v>
      </c>
      <c r="F22" s="293">
        <f t="shared" si="1"/>
        <v>0</v>
      </c>
    </row>
    <row r="23" spans="1:6" ht="14.4">
      <c r="A23" s="533" t="s">
        <v>427</v>
      </c>
      <c r="B23" s="293">
        <f>ROUND(B15+B16-B20,2)</f>
        <v>0</v>
      </c>
      <c r="C23" s="293">
        <f>ROUND(C15+C16-C20,2)</f>
        <v>0</v>
      </c>
      <c r="D23" s="293">
        <f>ROUND(D15+D16-D20,2)</f>
        <v>0</v>
      </c>
      <c r="E23" s="293">
        <f>ROUND(E15+E16-E20,2)</f>
        <v>0</v>
      </c>
      <c r="F23" s="293">
        <f t="shared" si="1"/>
        <v>0</v>
      </c>
    </row>
    <row r="24" spans="1:6" ht="14.4">
      <c r="A24" s="73" t="s">
        <v>429</v>
      </c>
      <c r="B24" s="293"/>
      <c r="C24" s="293"/>
      <c r="D24" s="293"/>
      <c r="E24" s="293"/>
      <c r="F24" s="293"/>
    </row>
    <row r="25" spans="1:6" ht="14.4">
      <c r="A25" s="533" t="s">
        <v>465</v>
      </c>
      <c r="B25" s="293">
        <f>ROUND(SUMIF(无形资产明细表!$H:$H,B$1&amp;"减值准备期初数",无形资产明细表!$F:$F),2)</f>
        <v>0</v>
      </c>
      <c r="C25" s="293">
        <f>ROUND(SUMIF(无形资产明细表!$H:$H,C$1&amp;"减值准备期初数",无形资产明细表!$F:$F),2)</f>
        <v>0</v>
      </c>
      <c r="D25" s="293">
        <f>ROUND(SUMIF(无形资产明细表!$H:$H,D$1&amp;"减值准备期初数",无形资产明细表!$F:$F),2)</f>
        <v>0</v>
      </c>
      <c r="E25" s="293">
        <f>ROUND(SUMIF(无形资产明细表!$H:$H,E$1&amp;"减值准备期初数",无形资产明细表!$F:$F),2)</f>
        <v>0</v>
      </c>
      <c r="F25" s="293">
        <f t="shared" ref="F25:F32" si="2">ROUND(SUM(B25:E25),2)</f>
        <v>0</v>
      </c>
    </row>
    <row r="26" spans="1:6" ht="14.4">
      <c r="A26" s="533" t="s">
        <v>425</v>
      </c>
      <c r="B26" s="293">
        <f>ROUND(SUM(B27:B28),2)</f>
        <v>0</v>
      </c>
      <c r="C26" s="293">
        <f>ROUND(SUM(C27:C28),2)</f>
        <v>0</v>
      </c>
      <c r="D26" s="293">
        <f>ROUND(SUM(D27:D28),2)</f>
        <v>0</v>
      </c>
      <c r="E26" s="293">
        <f>ROUND(SUM(E27:E28),2)</f>
        <v>0</v>
      </c>
      <c r="F26" s="293">
        <f t="shared" si="2"/>
        <v>0</v>
      </c>
    </row>
    <row r="27" spans="1:6" ht="14.4">
      <c r="A27" s="551" t="s">
        <v>3779</v>
      </c>
      <c r="B27" s="293">
        <f>ROUND(SUMIF(无形资产明细表!$H:$H,B$1&amp;"减值准备本期增加"&amp;REPLACE($A27,1,3,""),无形资产明细表!$F:$F),2)</f>
        <v>0</v>
      </c>
      <c r="C27" s="293">
        <f>ROUND(SUMIF(无形资产明细表!$H:$H,C$1&amp;"减值准备本期增加"&amp;REPLACE($A27,1,3,""),无形资产明细表!$F:$F),2)</f>
        <v>0</v>
      </c>
      <c r="D27" s="293">
        <f>ROUND(SUMIF(无形资产明细表!$H:$H,D$1&amp;"减值准备本期增加"&amp;REPLACE($A27,1,3,""),无形资产明细表!$F:$F),2)</f>
        <v>0</v>
      </c>
      <c r="E27" s="293">
        <f>ROUND(SUMIF(无形资产明细表!$H:$H,E$1&amp;"减值准备本期增加"&amp;REPLACE($A27,1,3,""),无形资产明细表!$F:$F),2)</f>
        <v>0</v>
      </c>
      <c r="F27" s="293">
        <f t="shared" si="2"/>
        <v>0</v>
      </c>
    </row>
    <row r="28" spans="1:6" ht="14.4">
      <c r="A28" s="551" t="s">
        <v>3791</v>
      </c>
      <c r="B28" s="293">
        <f>ROUND(SUMIF(无形资产明细表!$H:$H,B$1&amp;"减值准备本期增加"&amp;REPLACE($A28,1,3,""),无形资产明细表!$F:$F),2)</f>
        <v>0</v>
      </c>
      <c r="C28" s="293">
        <f>ROUND(SUMIF(无形资产明细表!$H:$H,C$1&amp;"减值准备本期增加"&amp;REPLACE($A28,1,3,""),无形资产明细表!$F:$F),2)</f>
        <v>0</v>
      </c>
      <c r="D28" s="293">
        <f>ROUND(SUMIF(无形资产明细表!$H:$H,D$1&amp;"减值准备本期增加"&amp;REPLACE($A28,1,3,""),无形资产明细表!$F:$F),2)</f>
        <v>0</v>
      </c>
      <c r="E28" s="293">
        <f>ROUND(SUMIF(无形资产明细表!$H:$H,E$1&amp;"减值准备本期增加"&amp;REPLACE($A28,1,3,""),无形资产明细表!$F:$F),2)</f>
        <v>0</v>
      </c>
      <c r="F28" s="293">
        <f t="shared" si="2"/>
        <v>0</v>
      </c>
    </row>
    <row r="29" spans="1:6" ht="14.4">
      <c r="A29" s="533" t="s">
        <v>426</v>
      </c>
      <c r="B29" s="293">
        <f>ROUND(SUM(B30:B31),2)</f>
        <v>0</v>
      </c>
      <c r="C29" s="293">
        <f>ROUND(SUM(C30:C31),2)</f>
        <v>0</v>
      </c>
      <c r="D29" s="293">
        <f>ROUND(SUM(D30:D31),2)</f>
        <v>0</v>
      </c>
      <c r="E29" s="293">
        <f>ROUND(SUM(E30:E31),2)</f>
        <v>0</v>
      </c>
      <c r="F29" s="293">
        <f t="shared" si="2"/>
        <v>0</v>
      </c>
    </row>
    <row r="30" spans="1:6" ht="14.4">
      <c r="A30" s="551" t="s">
        <v>3763</v>
      </c>
      <c r="B30" s="293">
        <f>ROUND(SUMIF(无形资产明细表!$H:$H,B$1&amp;"减值准备本期减少"&amp;REPLACE($A30,1,3,""),无形资产明细表!$F:$F),2)</f>
        <v>0</v>
      </c>
      <c r="C30" s="293">
        <f>ROUND(SUMIF(无形资产明细表!$H:$H,C$1&amp;"减值准备本期减少"&amp;REPLACE($A30,1,3,""),无形资产明细表!$F:$F),2)</f>
        <v>0</v>
      </c>
      <c r="D30" s="293">
        <f>ROUND(SUMIF(无形资产明细表!$H:$H,D$1&amp;"减值准备本期减少"&amp;REPLACE($A30,1,3,""),无形资产明细表!$F:$F),2)</f>
        <v>0</v>
      </c>
      <c r="E30" s="293">
        <f>ROUND(SUMIF(无形资产明细表!$H:$H,E$1&amp;"减值准备本期减少"&amp;REPLACE($A30,1,3,""),无形资产明细表!$F:$F),2)</f>
        <v>0</v>
      </c>
      <c r="F30" s="293">
        <f t="shared" si="2"/>
        <v>0</v>
      </c>
    </row>
    <row r="31" spans="1:6" ht="15.6">
      <c r="A31" s="551" t="s">
        <v>3789</v>
      </c>
      <c r="B31" s="293">
        <f>ROUND(SUMIF(无形资产明细表!$H:$H,B$1&amp;"减值准备本期减少"&amp;REPLACE($A31,1,3,""),无形资产明细表!$F:$F),2)</f>
        <v>0</v>
      </c>
      <c r="C31" s="293">
        <f>ROUND(SUMIF(无形资产明细表!$H:$H,C$1&amp;"减值准备本期减少"&amp;REPLACE($A31,1,3,""),无形资产明细表!$F:$F),2)</f>
        <v>0</v>
      </c>
      <c r="D31" s="293">
        <f>ROUND(SUMIF(无形资产明细表!$H:$H,D$1&amp;"减值准备本期减少"&amp;REPLACE($A31,1,3,""),无形资产明细表!$F:$F),2)</f>
        <v>0</v>
      </c>
      <c r="E31" s="293">
        <f>ROUND(SUMIF(无形资产明细表!$H:$H,E$1&amp;"减值准备本期减少"&amp;REPLACE($A31,1,3,""),无形资产明细表!$F:$F),2)</f>
        <v>0</v>
      </c>
      <c r="F31" s="293">
        <f t="shared" si="2"/>
        <v>0</v>
      </c>
    </row>
    <row r="32" spans="1:6" ht="14.4">
      <c r="A32" s="533" t="s">
        <v>427</v>
      </c>
      <c r="B32" s="293">
        <f>ROUND(B25+B26-B29,2)</f>
        <v>0</v>
      </c>
      <c r="C32" s="293">
        <f>ROUND(C25+C26-C29,2)</f>
        <v>0</v>
      </c>
      <c r="D32" s="293">
        <f>ROUND(D25+D26-D29,2)</f>
        <v>0</v>
      </c>
      <c r="E32" s="293">
        <f>ROUND(E25+E26-E29,2)</f>
        <v>0</v>
      </c>
      <c r="F32" s="293">
        <f t="shared" si="2"/>
        <v>0</v>
      </c>
    </row>
    <row r="33" spans="1:6" ht="14.4">
      <c r="A33" s="73" t="s">
        <v>430</v>
      </c>
      <c r="B33" s="293"/>
      <c r="C33" s="293"/>
      <c r="D33" s="293"/>
      <c r="E33" s="293"/>
      <c r="F33" s="293"/>
    </row>
    <row r="34" spans="1:6" ht="14.4">
      <c r="A34" s="533" t="s">
        <v>431</v>
      </c>
      <c r="B34" s="293">
        <f>ROUND(B13-B23-B32,2)</f>
        <v>0</v>
      </c>
      <c r="C34" s="293">
        <f>ROUND(C13-C23-C32,2)</f>
        <v>0</v>
      </c>
      <c r="D34" s="293">
        <f>ROUND(D13-D23-D32,2)</f>
        <v>0</v>
      </c>
      <c r="E34" s="293">
        <f>ROUND(E13-E23-E32,2)</f>
        <v>0</v>
      </c>
      <c r="F34" s="293">
        <f>ROUND(SUM(B34:E34),2)</f>
        <v>0</v>
      </c>
    </row>
    <row r="35" spans="1:6" ht="14.4">
      <c r="A35" s="533" t="s">
        <v>466</v>
      </c>
      <c r="B35" s="293">
        <f>ROUND(B3-B15-B25,2)</f>
        <v>0</v>
      </c>
      <c r="C35" s="293">
        <f>ROUND(C3-C15-C25,2)</f>
        <v>0</v>
      </c>
      <c r="D35" s="293">
        <f>ROUND(D3-D15-D25,2)</f>
        <v>0</v>
      </c>
      <c r="E35" s="293">
        <f>ROUND(E3-E15-E25,2)</f>
        <v>0</v>
      </c>
      <c r="F35" s="293">
        <f>ROUND(SUM(B35:E35),2)</f>
        <v>0</v>
      </c>
    </row>
    <row r="36" spans="1:6" ht="14.4">
      <c r="F36" s="293"/>
    </row>
  </sheetData>
  <phoneticPr fontId="1" type="noConversion"/>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sheetPr codeName="Sheet227"/>
  <dimension ref="A1:I119"/>
  <sheetViews>
    <sheetView workbookViewId="0">
      <selection activeCell="A7" sqref="A7"/>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1" t="s">
        <v>1976</v>
      </c>
      <c r="B1" s="311" t="s">
        <v>1977</v>
      </c>
      <c r="C1" s="261" t="s">
        <v>2443</v>
      </c>
      <c r="D1" s="261" t="s">
        <v>2475</v>
      </c>
      <c r="E1" s="261" t="s">
        <v>2476</v>
      </c>
      <c r="F1" s="261" t="s">
        <v>2478</v>
      </c>
      <c r="G1" s="261" t="s">
        <v>2480</v>
      </c>
      <c r="H1" s="263" t="s">
        <v>2481</v>
      </c>
      <c r="I1" s="261" t="s">
        <v>3385</v>
      </c>
    </row>
    <row r="2" spans="1:9">
      <c r="A2" s="229" t="str">
        <f>IF(F2&gt;0,基础信息!$B$1,"")</f>
        <v/>
      </c>
      <c r="B2" s="276"/>
      <c r="C2" s="276"/>
      <c r="D2" s="276"/>
      <c r="E2" s="276"/>
      <c r="F2" s="255"/>
      <c r="G2" t="str">
        <f>B2&amp;C2&amp;D2</f>
        <v/>
      </c>
      <c r="H2" s="229" t="str">
        <f>B2&amp;C2&amp;D2&amp;E2</f>
        <v/>
      </c>
      <c r="I2" t="str">
        <f>C2&amp;D2&amp;E2</f>
        <v/>
      </c>
    </row>
    <row r="3" spans="1:9">
      <c r="A3" s="229" t="str">
        <f>IF(F3&gt;0,基础信息!$B$1,"")</f>
        <v/>
      </c>
      <c r="B3" s="276"/>
      <c r="C3" s="276"/>
      <c r="D3" s="276"/>
      <c r="E3" s="276"/>
      <c r="F3" s="255"/>
      <c r="G3" t="str">
        <f t="shared" ref="G3:G66" si="0">B3&amp;C3&amp;D3</f>
        <v/>
      </c>
      <c r="H3" s="229" t="str">
        <f t="shared" ref="H3:H37" si="1">B3&amp;C3&amp;D3&amp;E3</f>
        <v/>
      </c>
      <c r="I3" t="str">
        <f t="shared" ref="I3:I66" si="2">C3&amp;D3&amp;E3</f>
        <v/>
      </c>
    </row>
    <row r="4" spans="1:9">
      <c r="A4" s="229" t="str">
        <f>IF(F4&gt;0,基础信息!$B$1,"")</f>
        <v/>
      </c>
      <c r="B4" s="276"/>
      <c r="C4" s="276"/>
      <c r="D4" s="276"/>
      <c r="E4" s="276"/>
      <c r="F4" s="255"/>
      <c r="G4" t="str">
        <f t="shared" si="0"/>
        <v/>
      </c>
      <c r="H4" s="229" t="str">
        <f t="shared" si="1"/>
        <v/>
      </c>
      <c r="I4" t="str">
        <f t="shared" si="2"/>
        <v/>
      </c>
    </row>
    <row r="5" spans="1:9">
      <c r="A5" s="229" t="str">
        <f>IF(F5&gt;0,基础信息!$B$1,"")</f>
        <v/>
      </c>
      <c r="B5" s="276"/>
      <c r="C5" s="276"/>
      <c r="D5" s="276"/>
      <c r="E5" s="276"/>
      <c r="F5" s="255"/>
      <c r="G5" t="str">
        <f t="shared" si="0"/>
        <v/>
      </c>
      <c r="H5" s="229" t="str">
        <f t="shared" si="1"/>
        <v/>
      </c>
      <c r="I5" t="str">
        <f t="shared" si="2"/>
        <v/>
      </c>
    </row>
    <row r="6" spans="1:9">
      <c r="A6" s="229" t="str">
        <f>IF(F6&gt;0,基础信息!$B$1,"")</f>
        <v/>
      </c>
      <c r="B6" s="276"/>
      <c r="C6" s="276"/>
      <c r="D6" s="276"/>
      <c r="E6" s="276"/>
      <c r="F6" s="255"/>
      <c r="G6" t="str">
        <f t="shared" si="0"/>
        <v/>
      </c>
      <c r="H6" s="229" t="str">
        <f t="shared" si="1"/>
        <v/>
      </c>
      <c r="I6" t="str">
        <f t="shared" si="2"/>
        <v/>
      </c>
    </row>
    <row r="7" spans="1:9">
      <c r="A7" s="229" t="str">
        <f>IF(F7&gt;0,基础信息!$B$1,"")</f>
        <v/>
      </c>
      <c r="B7" s="276"/>
      <c r="C7" s="276"/>
      <c r="D7" s="276"/>
      <c r="E7" s="276"/>
      <c r="F7" s="255"/>
      <c r="G7" t="str">
        <f t="shared" si="0"/>
        <v/>
      </c>
      <c r="H7" s="229" t="str">
        <f t="shared" si="1"/>
        <v/>
      </c>
      <c r="I7" t="str">
        <f t="shared" si="2"/>
        <v/>
      </c>
    </row>
    <row r="8" spans="1:9">
      <c r="A8" s="229" t="str">
        <f>IF(F8&gt;0,基础信息!$B$1,"")</f>
        <v/>
      </c>
      <c r="B8" s="276"/>
      <c r="C8" s="276"/>
      <c r="D8" s="276"/>
      <c r="E8" s="276"/>
      <c r="F8" s="255"/>
      <c r="G8" t="str">
        <f t="shared" si="0"/>
        <v/>
      </c>
      <c r="H8" s="229" t="str">
        <f t="shared" si="1"/>
        <v/>
      </c>
      <c r="I8" t="str">
        <f t="shared" si="2"/>
        <v/>
      </c>
    </row>
    <row r="9" spans="1:9">
      <c r="A9" s="229" t="str">
        <f>IF(F9&gt;0,基础信息!$B$1,"")</f>
        <v/>
      </c>
      <c r="B9" s="276"/>
      <c r="C9" s="276"/>
      <c r="D9" s="276"/>
      <c r="E9" s="276"/>
      <c r="F9" s="255"/>
      <c r="G9" t="str">
        <f t="shared" si="0"/>
        <v/>
      </c>
      <c r="H9" s="229" t="str">
        <f t="shared" si="1"/>
        <v/>
      </c>
      <c r="I9" t="str">
        <f t="shared" si="2"/>
        <v/>
      </c>
    </row>
    <row r="10" spans="1:9">
      <c r="A10" s="229" t="str">
        <f>IF(F10&gt;0,基础信息!$B$1,"")</f>
        <v/>
      </c>
      <c r="B10" s="276"/>
      <c r="C10" s="276"/>
      <c r="D10" s="276"/>
      <c r="E10" s="276"/>
      <c r="F10" s="255"/>
      <c r="G10" t="str">
        <f t="shared" si="0"/>
        <v/>
      </c>
      <c r="H10" s="229" t="str">
        <f t="shared" si="1"/>
        <v/>
      </c>
      <c r="I10" t="str">
        <f t="shared" si="2"/>
        <v/>
      </c>
    </row>
    <row r="11" spans="1:9">
      <c r="A11" s="229" t="str">
        <f>IF(F11&gt;0,基础信息!$B$1,"")</f>
        <v/>
      </c>
      <c r="B11" s="276"/>
      <c r="C11" s="276"/>
      <c r="D11" s="276"/>
      <c r="E11" s="276"/>
      <c r="F11" s="255"/>
      <c r="G11" t="str">
        <f t="shared" si="0"/>
        <v/>
      </c>
      <c r="H11" s="229" t="str">
        <f t="shared" si="1"/>
        <v/>
      </c>
      <c r="I11" t="str">
        <f t="shared" si="2"/>
        <v/>
      </c>
    </row>
    <row r="12" spans="1:9">
      <c r="A12" s="229" t="str">
        <f>IF(F12&gt;0,基础信息!$B$1,"")</f>
        <v/>
      </c>
      <c r="B12" s="276"/>
      <c r="C12" s="276"/>
      <c r="D12" s="276"/>
      <c r="E12" s="276"/>
      <c r="F12" s="255"/>
      <c r="G12" t="str">
        <f t="shared" si="0"/>
        <v/>
      </c>
      <c r="H12" s="229" t="str">
        <f t="shared" si="1"/>
        <v/>
      </c>
      <c r="I12" t="str">
        <f t="shared" si="2"/>
        <v/>
      </c>
    </row>
    <row r="13" spans="1:9">
      <c r="A13" s="229" t="str">
        <f>IF(F13&gt;0,基础信息!$B$1,"")</f>
        <v/>
      </c>
      <c r="B13" s="276"/>
      <c r="C13" s="276"/>
      <c r="D13" s="276"/>
      <c r="E13" s="276"/>
      <c r="F13" s="255"/>
      <c r="G13" t="str">
        <f t="shared" si="0"/>
        <v/>
      </c>
      <c r="H13" s="229" t="str">
        <f t="shared" si="1"/>
        <v/>
      </c>
      <c r="I13" t="str">
        <f t="shared" si="2"/>
        <v/>
      </c>
    </row>
    <row r="14" spans="1:9">
      <c r="A14" s="229" t="str">
        <f>IF(F14&gt;0,基础信息!$B$1,"")</f>
        <v/>
      </c>
      <c r="B14" s="276"/>
      <c r="C14" s="276"/>
      <c r="D14" s="276"/>
      <c r="E14" s="276"/>
      <c r="F14" s="255"/>
      <c r="G14" t="str">
        <f t="shared" si="0"/>
        <v/>
      </c>
      <c r="H14" s="229" t="str">
        <f t="shared" si="1"/>
        <v/>
      </c>
      <c r="I14" t="str">
        <f t="shared" si="2"/>
        <v/>
      </c>
    </row>
    <row r="15" spans="1:9">
      <c r="A15" s="229" t="str">
        <f>IF(F15&gt;0,基础信息!$B$1,"")</f>
        <v/>
      </c>
      <c r="B15" s="276"/>
      <c r="C15" s="276"/>
      <c r="D15" s="276"/>
      <c r="E15" s="276"/>
      <c r="F15" s="255"/>
      <c r="G15" t="str">
        <f t="shared" si="0"/>
        <v/>
      </c>
      <c r="H15" s="229" t="str">
        <f t="shared" si="1"/>
        <v/>
      </c>
      <c r="I15" t="str">
        <f t="shared" si="2"/>
        <v/>
      </c>
    </row>
    <row r="16" spans="1:9">
      <c r="A16" s="229" t="str">
        <f>IF(F16&gt;0,基础信息!$B$1,"")</f>
        <v/>
      </c>
      <c r="B16" s="276"/>
      <c r="C16" s="276"/>
      <c r="D16" s="276"/>
      <c r="E16" s="276"/>
      <c r="F16" s="255"/>
      <c r="G16" t="str">
        <f t="shared" si="0"/>
        <v/>
      </c>
      <c r="H16" s="229" t="str">
        <f t="shared" si="1"/>
        <v/>
      </c>
      <c r="I16" t="str">
        <f t="shared" si="2"/>
        <v/>
      </c>
    </row>
    <row r="17" spans="1:9">
      <c r="A17" s="229" t="str">
        <f>IF(F17&gt;0,基础信息!$B$1,"")</f>
        <v/>
      </c>
      <c r="B17" s="276"/>
      <c r="C17" s="276"/>
      <c r="D17" s="276"/>
      <c r="E17" s="276"/>
      <c r="F17" s="255"/>
      <c r="G17" t="str">
        <f t="shared" si="0"/>
        <v/>
      </c>
      <c r="H17" s="229" t="str">
        <f t="shared" si="1"/>
        <v/>
      </c>
      <c r="I17" t="str">
        <f t="shared" si="2"/>
        <v/>
      </c>
    </row>
    <row r="18" spans="1:9">
      <c r="A18" s="229" t="str">
        <f>IF(F18&gt;0,基础信息!$B$1,"")</f>
        <v/>
      </c>
      <c r="B18" s="276"/>
      <c r="C18" s="276"/>
      <c r="D18" s="276"/>
      <c r="E18" s="276"/>
      <c r="F18" s="255"/>
      <c r="G18" t="str">
        <f t="shared" si="0"/>
        <v/>
      </c>
      <c r="H18" s="229" t="str">
        <f t="shared" si="1"/>
        <v/>
      </c>
      <c r="I18" t="str">
        <f t="shared" si="2"/>
        <v/>
      </c>
    </row>
    <row r="19" spans="1:9">
      <c r="A19" s="229" t="str">
        <f>IF(F19&gt;0,基础信息!$B$1,"")</f>
        <v/>
      </c>
      <c r="B19" s="276"/>
      <c r="C19" s="276"/>
      <c r="D19" s="276"/>
      <c r="E19" s="276"/>
      <c r="F19" s="255"/>
      <c r="G19" t="str">
        <f t="shared" si="0"/>
        <v/>
      </c>
      <c r="H19" s="229" t="str">
        <f t="shared" si="1"/>
        <v/>
      </c>
      <c r="I19" t="str">
        <f t="shared" si="2"/>
        <v/>
      </c>
    </row>
    <row r="20" spans="1:9">
      <c r="A20" s="229" t="str">
        <f>IF(F20&gt;0,基础信息!$B$1,"")</f>
        <v/>
      </c>
      <c r="B20" s="276"/>
      <c r="C20" s="276"/>
      <c r="D20" s="276"/>
      <c r="E20" s="276"/>
      <c r="F20" s="255"/>
      <c r="G20" t="str">
        <f t="shared" si="0"/>
        <v/>
      </c>
      <c r="H20" s="229" t="str">
        <f t="shared" si="1"/>
        <v/>
      </c>
      <c r="I20" t="str">
        <f t="shared" si="2"/>
        <v/>
      </c>
    </row>
    <row r="21" spans="1:9">
      <c r="A21" s="229" t="str">
        <f>IF(F21&gt;0,基础信息!$B$1,"")</f>
        <v/>
      </c>
      <c r="B21" s="276"/>
      <c r="C21" s="276"/>
      <c r="D21" s="276"/>
      <c r="E21" s="276"/>
      <c r="F21" s="255"/>
      <c r="G21" t="str">
        <f t="shared" si="0"/>
        <v/>
      </c>
      <c r="H21" s="229" t="str">
        <f t="shared" si="1"/>
        <v/>
      </c>
      <c r="I21" t="str">
        <f t="shared" si="2"/>
        <v/>
      </c>
    </row>
    <row r="22" spans="1:9">
      <c r="A22" s="229" t="str">
        <f>IF(F22&gt;0,基础信息!$B$1,"")</f>
        <v/>
      </c>
      <c r="B22" s="276"/>
      <c r="C22" s="276"/>
      <c r="D22" s="276"/>
      <c r="E22" s="276"/>
      <c r="F22" s="255"/>
      <c r="G22" t="str">
        <f t="shared" si="0"/>
        <v/>
      </c>
      <c r="H22" s="229" t="str">
        <f t="shared" si="1"/>
        <v/>
      </c>
      <c r="I22" t="str">
        <f t="shared" si="2"/>
        <v/>
      </c>
    </row>
    <row r="23" spans="1:9">
      <c r="A23" s="229" t="str">
        <f>IF(F23&gt;0,基础信息!$B$1,"")</f>
        <v/>
      </c>
      <c r="B23" s="276"/>
      <c r="C23" s="276"/>
      <c r="D23" s="276"/>
      <c r="E23" s="276"/>
      <c r="F23" s="255"/>
      <c r="G23" t="str">
        <f t="shared" si="0"/>
        <v/>
      </c>
      <c r="H23" s="229" t="str">
        <f t="shared" si="1"/>
        <v/>
      </c>
      <c r="I23" t="str">
        <f t="shared" si="2"/>
        <v/>
      </c>
    </row>
    <row r="24" spans="1:9">
      <c r="A24" s="229" t="str">
        <f>IF(F24&gt;0,基础信息!$B$1,"")</f>
        <v/>
      </c>
      <c r="B24" s="276"/>
      <c r="C24" s="276"/>
      <c r="D24" s="276"/>
      <c r="E24" s="276"/>
      <c r="F24" s="255"/>
      <c r="G24" t="str">
        <f t="shared" si="0"/>
        <v/>
      </c>
      <c r="H24" s="229" t="str">
        <f t="shared" si="1"/>
        <v/>
      </c>
      <c r="I24" t="str">
        <f t="shared" si="2"/>
        <v/>
      </c>
    </row>
    <row r="25" spans="1:9">
      <c r="A25" s="229" t="str">
        <f>IF(F25&gt;0,基础信息!$B$1,"")</f>
        <v/>
      </c>
      <c r="B25" s="276"/>
      <c r="C25" s="276"/>
      <c r="D25" s="276"/>
      <c r="E25" s="276"/>
      <c r="F25" s="255"/>
      <c r="G25" t="str">
        <f t="shared" si="0"/>
        <v/>
      </c>
      <c r="H25" s="229" t="str">
        <f t="shared" si="1"/>
        <v/>
      </c>
      <c r="I25" t="str">
        <f t="shared" si="2"/>
        <v/>
      </c>
    </row>
    <row r="26" spans="1:9">
      <c r="A26" s="229" t="str">
        <f>IF(F26&gt;0,基础信息!$B$1,"")</f>
        <v/>
      </c>
      <c r="B26" s="276"/>
      <c r="C26" s="276"/>
      <c r="D26" s="276"/>
      <c r="E26" s="276"/>
      <c r="F26" s="255"/>
      <c r="G26" t="str">
        <f t="shared" si="0"/>
        <v/>
      </c>
      <c r="H26" s="229" t="str">
        <f t="shared" si="1"/>
        <v/>
      </c>
      <c r="I26" t="str">
        <f t="shared" si="2"/>
        <v/>
      </c>
    </row>
    <row r="27" spans="1:9">
      <c r="A27" s="229" t="str">
        <f>IF(F27&gt;0,基础信息!$B$1,"")</f>
        <v/>
      </c>
      <c r="B27" s="276"/>
      <c r="C27" s="276"/>
      <c r="D27" s="276"/>
      <c r="E27" s="276"/>
      <c r="F27" s="255"/>
      <c r="G27" t="str">
        <f t="shared" si="0"/>
        <v/>
      </c>
      <c r="H27" s="229" t="str">
        <f t="shared" si="1"/>
        <v/>
      </c>
      <c r="I27" t="str">
        <f t="shared" si="2"/>
        <v/>
      </c>
    </row>
    <row r="28" spans="1:9">
      <c r="A28" s="229" t="str">
        <f>IF(F28&gt;0,基础信息!$B$1,"")</f>
        <v/>
      </c>
      <c r="B28" s="276"/>
      <c r="C28" s="276"/>
      <c r="D28" s="276"/>
      <c r="E28" s="276"/>
      <c r="F28" s="255"/>
      <c r="G28" t="str">
        <f t="shared" si="0"/>
        <v/>
      </c>
      <c r="H28" s="229" t="str">
        <f t="shared" si="1"/>
        <v/>
      </c>
      <c r="I28" t="str">
        <f t="shared" si="2"/>
        <v/>
      </c>
    </row>
    <row r="29" spans="1:9">
      <c r="A29" s="229" t="str">
        <f>IF(F29&gt;0,基础信息!$B$1,"")</f>
        <v/>
      </c>
      <c r="B29" s="276"/>
      <c r="C29" s="276"/>
      <c r="D29" s="276"/>
      <c r="E29" s="276"/>
      <c r="F29" s="255"/>
      <c r="G29" t="str">
        <f t="shared" si="0"/>
        <v/>
      </c>
      <c r="H29" s="229" t="str">
        <f t="shared" si="1"/>
        <v/>
      </c>
      <c r="I29" t="str">
        <f t="shared" si="2"/>
        <v/>
      </c>
    </row>
    <row r="30" spans="1:9">
      <c r="A30" s="229" t="str">
        <f>IF(F30&gt;0,基础信息!$B$1,"")</f>
        <v/>
      </c>
      <c r="B30" s="276"/>
      <c r="C30" s="276"/>
      <c r="D30" s="276"/>
      <c r="E30" s="276"/>
      <c r="F30" s="255"/>
      <c r="G30" t="str">
        <f t="shared" si="0"/>
        <v/>
      </c>
      <c r="H30" s="229" t="str">
        <f t="shared" si="1"/>
        <v/>
      </c>
      <c r="I30" t="str">
        <f t="shared" si="2"/>
        <v/>
      </c>
    </row>
    <row r="31" spans="1:9">
      <c r="A31" s="229" t="str">
        <f>IF(F31&gt;0,基础信息!$B$1,"")</f>
        <v/>
      </c>
      <c r="B31" s="276"/>
      <c r="C31" s="276"/>
      <c r="D31" s="276"/>
      <c r="E31" s="276"/>
      <c r="F31" s="255"/>
      <c r="G31" t="str">
        <f t="shared" si="0"/>
        <v/>
      </c>
      <c r="H31" s="229" t="str">
        <f t="shared" si="1"/>
        <v/>
      </c>
      <c r="I31" t="str">
        <f t="shared" si="2"/>
        <v/>
      </c>
    </row>
    <row r="32" spans="1:9">
      <c r="A32" s="229" t="str">
        <f>IF(F32&gt;0,基础信息!$B$1,"")</f>
        <v/>
      </c>
      <c r="B32" s="276"/>
      <c r="C32" s="276"/>
      <c r="D32" s="276"/>
      <c r="E32" s="276"/>
      <c r="F32" s="255"/>
      <c r="G32" t="str">
        <f t="shared" si="0"/>
        <v/>
      </c>
      <c r="H32" s="229" t="str">
        <f t="shared" si="1"/>
        <v/>
      </c>
      <c r="I32" t="str">
        <f t="shared" si="2"/>
        <v/>
      </c>
    </row>
    <row r="33" spans="1:9">
      <c r="A33" s="229" t="str">
        <f>IF(F33&gt;0,基础信息!$B$1,"")</f>
        <v/>
      </c>
      <c r="B33" s="276"/>
      <c r="C33" s="276"/>
      <c r="D33" s="276"/>
      <c r="E33" s="276"/>
      <c r="F33" s="255"/>
      <c r="G33" t="str">
        <f t="shared" si="0"/>
        <v/>
      </c>
      <c r="H33" s="229" t="str">
        <f t="shared" si="1"/>
        <v/>
      </c>
      <c r="I33" t="str">
        <f t="shared" si="2"/>
        <v/>
      </c>
    </row>
    <row r="34" spans="1:9">
      <c r="A34" s="229" t="str">
        <f>IF(F34&gt;0,基础信息!$B$1,"")</f>
        <v/>
      </c>
      <c r="B34" s="276"/>
      <c r="C34" s="276"/>
      <c r="D34" s="276"/>
      <c r="E34" s="276"/>
      <c r="F34" s="255"/>
      <c r="G34" t="str">
        <f t="shared" si="0"/>
        <v/>
      </c>
      <c r="H34" s="229" t="str">
        <f t="shared" si="1"/>
        <v/>
      </c>
      <c r="I34" t="str">
        <f t="shared" si="2"/>
        <v/>
      </c>
    </row>
    <row r="35" spans="1:9">
      <c r="A35" s="229" t="str">
        <f>IF(F35&gt;0,基础信息!$B$1,"")</f>
        <v/>
      </c>
      <c r="B35" s="276"/>
      <c r="C35" s="276"/>
      <c r="D35" s="276"/>
      <c r="E35" s="276"/>
      <c r="F35" s="255"/>
      <c r="G35" t="str">
        <f t="shared" si="0"/>
        <v/>
      </c>
      <c r="H35" s="229" t="str">
        <f t="shared" si="1"/>
        <v/>
      </c>
      <c r="I35" t="str">
        <f t="shared" si="2"/>
        <v/>
      </c>
    </row>
    <row r="36" spans="1:9">
      <c r="A36" s="229" t="str">
        <f>IF(F36&gt;0,基础信息!$B$1,"")</f>
        <v/>
      </c>
      <c r="B36" s="276"/>
      <c r="C36" s="276"/>
      <c r="D36" s="276"/>
      <c r="E36" s="276"/>
      <c r="F36" s="255"/>
      <c r="G36" t="str">
        <f t="shared" si="0"/>
        <v/>
      </c>
      <c r="H36" s="229" t="str">
        <f t="shared" si="1"/>
        <v/>
      </c>
      <c r="I36" t="str">
        <f t="shared" si="2"/>
        <v/>
      </c>
    </row>
    <row r="37" spans="1:9">
      <c r="A37" s="229" t="str">
        <f>IF(F37&gt;0,基础信息!$B$1,"")</f>
        <v/>
      </c>
      <c r="B37" s="276"/>
      <c r="C37" s="276"/>
      <c r="D37" s="276"/>
      <c r="E37" s="276"/>
      <c r="F37" s="255"/>
      <c r="G37" t="str">
        <f t="shared" si="0"/>
        <v/>
      </c>
      <c r="H37" s="229" t="str">
        <f t="shared" si="1"/>
        <v/>
      </c>
      <c r="I37" t="str">
        <f t="shared" si="2"/>
        <v/>
      </c>
    </row>
    <row r="38" spans="1:9">
      <c r="A38" s="229" t="str">
        <f>IF(F38&gt;0,基础信息!$B$1,"")</f>
        <v/>
      </c>
      <c r="B38" s="276"/>
      <c r="C38" s="276"/>
      <c r="D38" s="276"/>
      <c r="E38" s="276"/>
      <c r="F38" s="255"/>
      <c r="G38" t="str">
        <f t="shared" si="0"/>
        <v/>
      </c>
      <c r="I38" t="str">
        <f t="shared" si="2"/>
        <v/>
      </c>
    </row>
    <row r="39" spans="1:9">
      <c r="A39" s="229" t="str">
        <f>IF(F39&gt;0,基础信息!$B$1,"")</f>
        <v/>
      </c>
      <c r="B39" s="276"/>
      <c r="C39" s="276"/>
      <c r="D39" s="276"/>
      <c r="E39" s="276"/>
      <c r="F39" s="255"/>
      <c r="G39" t="str">
        <f t="shared" si="0"/>
        <v/>
      </c>
      <c r="I39" t="str">
        <f t="shared" si="2"/>
        <v/>
      </c>
    </row>
    <row r="40" spans="1:9">
      <c r="A40" s="229" t="str">
        <f>IF(F40&gt;0,基础信息!$B$1,"")</f>
        <v/>
      </c>
      <c r="B40" s="276"/>
      <c r="C40" s="276"/>
      <c r="D40" s="276"/>
      <c r="E40" s="276"/>
      <c r="F40" s="255"/>
      <c r="G40" t="str">
        <f t="shared" si="0"/>
        <v/>
      </c>
      <c r="I40" t="str">
        <f t="shared" si="2"/>
        <v/>
      </c>
    </row>
    <row r="41" spans="1:9">
      <c r="A41" s="229" t="str">
        <f>IF(F41&gt;0,基础信息!$B$1,"")</f>
        <v/>
      </c>
      <c r="B41" s="276"/>
      <c r="C41" s="276"/>
      <c r="D41" s="276"/>
      <c r="E41" s="276"/>
      <c r="F41" s="255"/>
      <c r="G41" t="str">
        <f t="shared" si="0"/>
        <v/>
      </c>
      <c r="I41" t="str">
        <f t="shared" si="2"/>
        <v/>
      </c>
    </row>
    <row r="42" spans="1:9">
      <c r="A42" s="229" t="str">
        <f>IF(F42&gt;0,基础信息!$B$1,"")</f>
        <v/>
      </c>
      <c r="B42" s="276"/>
      <c r="C42" s="276"/>
      <c r="D42" s="276"/>
      <c r="E42" s="276"/>
      <c r="F42" s="255"/>
      <c r="G42" t="str">
        <f t="shared" si="0"/>
        <v/>
      </c>
      <c r="I42" t="str">
        <f t="shared" si="2"/>
        <v/>
      </c>
    </row>
    <row r="43" spans="1:9">
      <c r="A43" s="229" t="str">
        <f>IF(F43&gt;0,基础信息!$B$1,"")</f>
        <v/>
      </c>
      <c r="B43" s="276"/>
      <c r="C43" s="276"/>
      <c r="D43" s="276"/>
      <c r="E43" s="276"/>
      <c r="G43" t="str">
        <f t="shared" si="0"/>
        <v/>
      </c>
      <c r="I43" t="str">
        <f t="shared" si="2"/>
        <v/>
      </c>
    </row>
    <row r="44" spans="1:9">
      <c r="A44" s="229" t="str">
        <f>IF(F44&gt;0,基础信息!$B$1,"")</f>
        <v/>
      </c>
      <c r="B44" s="276"/>
      <c r="E44" s="276"/>
      <c r="G44" t="str">
        <f t="shared" si="0"/>
        <v/>
      </c>
      <c r="I44" t="str">
        <f t="shared" si="2"/>
        <v/>
      </c>
    </row>
    <row r="45" spans="1:9">
      <c r="A45" s="229" t="str">
        <f>IF(F45&gt;0,基础信息!$B$1,"")</f>
        <v/>
      </c>
      <c r="B45" s="276"/>
      <c r="E45" s="276"/>
      <c r="G45" t="str">
        <f t="shared" si="0"/>
        <v/>
      </c>
      <c r="I45" t="str">
        <f t="shared" si="2"/>
        <v/>
      </c>
    </row>
    <row r="46" spans="1:9">
      <c r="A46" s="229" t="str">
        <f>IF(F46&gt;0,基础信息!$B$1,"")</f>
        <v/>
      </c>
      <c r="B46" s="276"/>
      <c r="E46" s="276"/>
      <c r="G46" t="str">
        <f t="shared" si="0"/>
        <v/>
      </c>
      <c r="I46" t="str">
        <f t="shared" si="2"/>
        <v/>
      </c>
    </row>
    <row r="47" spans="1:9">
      <c r="A47" s="229" t="str">
        <f>IF(F47&gt;0,基础信息!$B$1,"")</f>
        <v/>
      </c>
      <c r="B47" s="276"/>
      <c r="E47" s="276"/>
      <c r="G47" t="str">
        <f t="shared" si="0"/>
        <v/>
      </c>
      <c r="I47" t="str">
        <f t="shared" si="2"/>
        <v/>
      </c>
    </row>
    <row r="48" spans="1:9">
      <c r="A48" s="229" t="str">
        <f>IF(F48&gt;0,基础信息!$B$1,"")</f>
        <v/>
      </c>
      <c r="B48" s="276"/>
      <c r="E48" s="276"/>
      <c r="G48" t="str">
        <f t="shared" si="0"/>
        <v/>
      </c>
      <c r="I48" t="str">
        <f t="shared" si="2"/>
        <v/>
      </c>
    </row>
    <row r="49" spans="1:9">
      <c r="A49" s="229" t="str">
        <f>IF(F49&gt;0,基础信息!$B$1,"")</f>
        <v/>
      </c>
      <c r="B49" s="276"/>
      <c r="E49" s="276"/>
      <c r="G49" t="str">
        <f t="shared" si="0"/>
        <v/>
      </c>
      <c r="I49" t="str">
        <f t="shared" si="2"/>
        <v/>
      </c>
    </row>
    <row r="50" spans="1:9">
      <c r="A50" s="229" t="str">
        <f>IF(F50&gt;0,基础信息!$B$1,"")</f>
        <v/>
      </c>
      <c r="B50" s="276"/>
      <c r="E50" s="276"/>
      <c r="G50" t="str">
        <f t="shared" si="0"/>
        <v/>
      </c>
      <c r="I50" t="str">
        <f t="shared" si="2"/>
        <v/>
      </c>
    </row>
    <row r="51" spans="1:9">
      <c r="A51" s="229" t="str">
        <f>IF(F51&gt;0,基础信息!$B$1,"")</f>
        <v/>
      </c>
      <c r="B51" s="276"/>
      <c r="E51" s="276"/>
      <c r="G51" t="str">
        <f t="shared" si="0"/>
        <v/>
      </c>
      <c r="I51" t="str">
        <f t="shared" si="2"/>
        <v/>
      </c>
    </row>
    <row r="52" spans="1:9">
      <c r="A52" s="229" t="str">
        <f>IF(F52&gt;0,基础信息!$B$1,"")</f>
        <v/>
      </c>
      <c r="B52" s="276"/>
      <c r="E52" s="276"/>
      <c r="G52" t="str">
        <f t="shared" si="0"/>
        <v/>
      </c>
      <c r="I52" t="str">
        <f t="shared" si="2"/>
        <v/>
      </c>
    </row>
    <row r="53" spans="1:9">
      <c r="A53" s="229" t="str">
        <f>IF(F53&gt;0,基础信息!$B$1,"")</f>
        <v/>
      </c>
      <c r="B53" s="276"/>
      <c r="E53" s="276"/>
      <c r="G53" t="str">
        <f t="shared" si="0"/>
        <v/>
      </c>
      <c r="I53" t="str">
        <f t="shared" si="2"/>
        <v/>
      </c>
    </row>
    <row r="54" spans="1:9">
      <c r="A54" s="229" t="str">
        <f>IF(F54&gt;0,基础信息!$B$1,"")</f>
        <v/>
      </c>
      <c r="B54" s="276"/>
      <c r="E54" s="276"/>
      <c r="G54" t="str">
        <f t="shared" si="0"/>
        <v/>
      </c>
      <c r="I54" t="str">
        <f t="shared" si="2"/>
        <v/>
      </c>
    </row>
    <row r="55" spans="1:9">
      <c r="A55" s="229" t="str">
        <f>IF(F55&gt;0,基础信息!$B$1,"")</f>
        <v/>
      </c>
      <c r="B55" s="276"/>
      <c r="E55" s="276"/>
      <c r="G55" t="str">
        <f t="shared" si="0"/>
        <v/>
      </c>
      <c r="I55" t="str">
        <f t="shared" si="2"/>
        <v/>
      </c>
    </row>
    <row r="56" spans="1:9">
      <c r="A56" s="229" t="str">
        <f>IF(F56&gt;0,基础信息!$B$1,"")</f>
        <v/>
      </c>
      <c r="B56" s="276"/>
      <c r="E56" s="276"/>
      <c r="G56" t="str">
        <f t="shared" si="0"/>
        <v/>
      </c>
      <c r="I56" t="str">
        <f t="shared" si="2"/>
        <v/>
      </c>
    </row>
    <row r="57" spans="1:9">
      <c r="A57" s="229" t="str">
        <f>IF(F57&gt;0,基础信息!$B$1,"")</f>
        <v/>
      </c>
      <c r="B57" s="276"/>
      <c r="E57" s="276"/>
      <c r="G57" t="str">
        <f t="shared" si="0"/>
        <v/>
      </c>
      <c r="I57" t="str">
        <f t="shared" si="2"/>
        <v/>
      </c>
    </row>
    <row r="58" spans="1:9">
      <c r="A58" s="229" t="str">
        <f>IF(F58&gt;0,基础信息!$B$1,"")</f>
        <v/>
      </c>
      <c r="B58" s="276"/>
      <c r="E58" s="276"/>
      <c r="G58" t="str">
        <f t="shared" si="0"/>
        <v/>
      </c>
      <c r="I58" t="str">
        <f t="shared" si="2"/>
        <v/>
      </c>
    </row>
    <row r="59" spans="1:9">
      <c r="A59" s="229" t="str">
        <f>IF(F59&gt;0,基础信息!$B$1,"")</f>
        <v/>
      </c>
      <c r="B59" s="276"/>
      <c r="E59" s="276"/>
      <c r="G59" t="str">
        <f t="shared" si="0"/>
        <v/>
      </c>
      <c r="I59" t="str">
        <f t="shared" si="2"/>
        <v/>
      </c>
    </row>
    <row r="60" spans="1:9">
      <c r="A60" s="229" t="str">
        <f>IF(F60&gt;0,基础信息!$B$1,"")</f>
        <v/>
      </c>
      <c r="B60" s="276"/>
      <c r="E60" s="276"/>
      <c r="G60" t="str">
        <f t="shared" si="0"/>
        <v/>
      </c>
      <c r="I60" t="str">
        <f t="shared" si="2"/>
        <v/>
      </c>
    </row>
    <row r="61" spans="1:9">
      <c r="A61" s="229" t="str">
        <f>IF(F61&gt;0,基础信息!$B$1,"")</f>
        <v/>
      </c>
      <c r="B61" s="276"/>
      <c r="E61" s="276"/>
      <c r="G61" t="str">
        <f t="shared" si="0"/>
        <v/>
      </c>
      <c r="I61" t="str">
        <f t="shared" si="2"/>
        <v/>
      </c>
    </row>
    <row r="62" spans="1:9">
      <c r="A62" s="229" t="str">
        <f>IF(F62&gt;0,基础信息!$B$1,"")</f>
        <v/>
      </c>
      <c r="B62" s="276"/>
      <c r="E62" s="276"/>
      <c r="G62" t="str">
        <f t="shared" si="0"/>
        <v/>
      </c>
      <c r="I62" t="str">
        <f t="shared" si="2"/>
        <v/>
      </c>
    </row>
    <row r="63" spans="1:9">
      <c r="A63" s="229" t="str">
        <f>IF(F63&gt;0,基础信息!$B$1,"")</f>
        <v/>
      </c>
      <c r="B63" s="276"/>
      <c r="E63" s="276"/>
      <c r="G63" t="str">
        <f t="shared" si="0"/>
        <v/>
      </c>
      <c r="I63" t="str">
        <f t="shared" si="2"/>
        <v/>
      </c>
    </row>
    <row r="64" spans="1:9">
      <c r="A64" s="229" t="str">
        <f>IF(F64&gt;0,基础信息!$B$1,"")</f>
        <v/>
      </c>
      <c r="B64" s="276"/>
      <c r="E64" s="276"/>
      <c r="G64" t="str">
        <f t="shared" si="0"/>
        <v/>
      </c>
      <c r="I64" t="str">
        <f t="shared" si="2"/>
        <v/>
      </c>
    </row>
    <row r="65" spans="1:9">
      <c r="A65" s="229" t="str">
        <f>IF(F65&gt;0,基础信息!$B$1,"")</f>
        <v/>
      </c>
      <c r="B65" s="276"/>
      <c r="E65" s="276"/>
      <c r="G65" t="str">
        <f t="shared" si="0"/>
        <v/>
      </c>
      <c r="I65" t="str">
        <f t="shared" si="2"/>
        <v/>
      </c>
    </row>
    <row r="66" spans="1:9">
      <c r="A66" s="229" t="str">
        <f>IF(F66&gt;0,基础信息!$B$1,"")</f>
        <v/>
      </c>
      <c r="B66" s="276"/>
      <c r="E66" s="276"/>
      <c r="G66" t="str">
        <f t="shared" si="0"/>
        <v/>
      </c>
      <c r="I66" t="str">
        <f t="shared" si="2"/>
        <v/>
      </c>
    </row>
    <row r="67" spans="1:9">
      <c r="A67" s="229" t="str">
        <f>IF(F67&gt;0,基础信息!$B$1,"")</f>
        <v/>
      </c>
      <c r="B67" s="276"/>
      <c r="E67" s="276"/>
      <c r="G67" t="str">
        <f t="shared" ref="G67:G88" si="3">B67&amp;C67&amp;D67</f>
        <v/>
      </c>
      <c r="I67" t="str">
        <f t="shared" ref="I67:I119" si="4">C67&amp;D67&amp;E67</f>
        <v/>
      </c>
    </row>
    <row r="68" spans="1:9">
      <c r="A68" s="229" t="str">
        <f>IF(F68&gt;0,基础信息!$B$1,"")</f>
        <v/>
      </c>
      <c r="B68" s="276"/>
      <c r="E68" s="276"/>
      <c r="G68" t="str">
        <f t="shared" si="3"/>
        <v/>
      </c>
      <c r="I68" t="str">
        <f t="shared" si="4"/>
        <v/>
      </c>
    </row>
    <row r="69" spans="1:9">
      <c r="A69" s="229" t="str">
        <f>IF(F69&gt;0,基础信息!$B$1,"")</f>
        <v/>
      </c>
      <c r="B69" s="276"/>
      <c r="E69" s="276"/>
      <c r="G69" t="str">
        <f t="shared" si="3"/>
        <v/>
      </c>
      <c r="I69" t="str">
        <f t="shared" si="4"/>
        <v/>
      </c>
    </row>
    <row r="70" spans="1:9">
      <c r="A70" s="229" t="str">
        <f>IF(F70&gt;0,基础信息!$B$1,"")</f>
        <v/>
      </c>
      <c r="B70" s="276"/>
      <c r="E70" s="276"/>
      <c r="G70" t="str">
        <f t="shared" si="3"/>
        <v/>
      </c>
      <c r="I70" t="str">
        <f t="shared" si="4"/>
        <v/>
      </c>
    </row>
    <row r="71" spans="1:9">
      <c r="A71" s="229" t="str">
        <f>IF(F71&gt;0,基础信息!$B$1,"")</f>
        <v/>
      </c>
      <c r="B71" s="276"/>
      <c r="E71" s="276"/>
      <c r="G71" t="str">
        <f t="shared" si="3"/>
        <v/>
      </c>
      <c r="I71" t="str">
        <f t="shared" si="4"/>
        <v/>
      </c>
    </row>
    <row r="72" spans="1:9">
      <c r="A72" s="229" t="str">
        <f>IF(F72&gt;0,基础信息!$B$1,"")</f>
        <v/>
      </c>
      <c r="B72" s="276"/>
      <c r="E72" s="276"/>
      <c r="G72" t="str">
        <f t="shared" si="3"/>
        <v/>
      </c>
      <c r="I72" t="str">
        <f t="shared" si="4"/>
        <v/>
      </c>
    </row>
    <row r="73" spans="1:9">
      <c r="A73" s="229" t="str">
        <f>IF(F73&gt;0,基础信息!$B$1,"")</f>
        <v/>
      </c>
      <c r="B73" s="276"/>
      <c r="E73" s="276"/>
      <c r="G73" t="str">
        <f t="shared" si="3"/>
        <v/>
      </c>
      <c r="I73" t="str">
        <f t="shared" si="4"/>
        <v/>
      </c>
    </row>
    <row r="74" spans="1:9">
      <c r="A74" s="229" t="str">
        <f>IF(F74&gt;0,基础信息!$B$1,"")</f>
        <v/>
      </c>
      <c r="B74" s="276"/>
      <c r="E74" s="276"/>
      <c r="G74" t="str">
        <f t="shared" si="3"/>
        <v/>
      </c>
      <c r="I74" t="str">
        <f t="shared" si="4"/>
        <v/>
      </c>
    </row>
    <row r="75" spans="1:9">
      <c r="A75" s="229" t="str">
        <f>IF(F75&gt;0,基础信息!$B$1,"")</f>
        <v/>
      </c>
      <c r="B75" s="276"/>
      <c r="E75" s="276"/>
      <c r="G75" t="str">
        <f t="shared" si="3"/>
        <v/>
      </c>
      <c r="I75" t="str">
        <f t="shared" si="4"/>
        <v/>
      </c>
    </row>
    <row r="76" spans="1:9">
      <c r="A76" s="229" t="str">
        <f>IF(F76&gt;0,基础信息!$B$1,"")</f>
        <v/>
      </c>
      <c r="B76" s="276"/>
      <c r="E76" s="276"/>
      <c r="G76" t="str">
        <f t="shared" si="3"/>
        <v/>
      </c>
      <c r="I76" t="str">
        <f t="shared" si="4"/>
        <v/>
      </c>
    </row>
    <row r="77" spans="1:9">
      <c r="A77" s="229" t="str">
        <f>IF(F77&gt;0,基础信息!$B$1,"")</f>
        <v/>
      </c>
      <c r="B77" s="276"/>
      <c r="E77" s="276"/>
      <c r="G77" t="str">
        <f t="shared" si="3"/>
        <v/>
      </c>
      <c r="I77" t="str">
        <f t="shared" si="4"/>
        <v/>
      </c>
    </row>
    <row r="78" spans="1:9">
      <c r="A78" s="229" t="str">
        <f>IF(F78&gt;0,基础信息!$B$1,"")</f>
        <v/>
      </c>
      <c r="B78" s="276"/>
      <c r="E78" s="276"/>
      <c r="G78" t="str">
        <f t="shared" si="3"/>
        <v/>
      </c>
      <c r="I78" t="str">
        <f t="shared" si="4"/>
        <v/>
      </c>
    </row>
    <row r="79" spans="1:9">
      <c r="A79" s="229" t="str">
        <f>IF(F79&gt;0,基础信息!$B$1,"")</f>
        <v/>
      </c>
      <c r="B79" s="276"/>
      <c r="E79" s="276"/>
      <c r="G79" t="str">
        <f t="shared" si="3"/>
        <v/>
      </c>
      <c r="I79" t="str">
        <f t="shared" si="4"/>
        <v/>
      </c>
    </row>
    <row r="80" spans="1:9">
      <c r="A80" s="229" t="str">
        <f>IF(F80&gt;0,基础信息!$B$1,"")</f>
        <v/>
      </c>
      <c r="B80" s="276"/>
      <c r="E80" s="276"/>
      <c r="G80" t="str">
        <f t="shared" si="3"/>
        <v/>
      </c>
      <c r="I80" t="str">
        <f t="shared" si="4"/>
        <v/>
      </c>
    </row>
    <row r="81" spans="1:9">
      <c r="A81" s="229" t="str">
        <f>IF(F81&gt;0,基础信息!$B$1,"")</f>
        <v/>
      </c>
      <c r="B81" s="276"/>
      <c r="E81" s="276"/>
      <c r="G81" t="str">
        <f t="shared" si="3"/>
        <v/>
      </c>
      <c r="I81" t="str">
        <f t="shared" si="4"/>
        <v/>
      </c>
    </row>
    <row r="82" spans="1:9">
      <c r="A82" s="229" t="str">
        <f>IF(F82&gt;0,基础信息!$B$1,"")</f>
        <v/>
      </c>
      <c r="B82" s="276"/>
      <c r="E82" s="276"/>
      <c r="G82" t="str">
        <f t="shared" si="3"/>
        <v/>
      </c>
      <c r="I82" t="str">
        <f t="shared" si="4"/>
        <v/>
      </c>
    </row>
    <row r="83" spans="1:9">
      <c r="A83" s="229" t="str">
        <f>IF(F83&gt;0,基础信息!$B$1,"")</f>
        <v/>
      </c>
      <c r="B83" s="276"/>
      <c r="E83" s="276"/>
      <c r="G83" t="str">
        <f t="shared" si="3"/>
        <v/>
      </c>
      <c r="I83" t="str">
        <f t="shared" si="4"/>
        <v/>
      </c>
    </row>
    <row r="84" spans="1:9">
      <c r="A84" s="229" t="str">
        <f>IF(F84&gt;0,基础信息!$B$1,"")</f>
        <v/>
      </c>
      <c r="B84" s="276"/>
      <c r="E84" s="276"/>
      <c r="G84" t="str">
        <f t="shared" si="3"/>
        <v/>
      </c>
      <c r="I84" t="str">
        <f t="shared" si="4"/>
        <v/>
      </c>
    </row>
    <row r="85" spans="1:9">
      <c r="A85" s="229" t="str">
        <f>IF(F85&gt;0,基础信息!$B$1,"")</f>
        <v/>
      </c>
      <c r="B85" s="276"/>
      <c r="E85" s="276"/>
      <c r="G85" t="str">
        <f t="shared" si="3"/>
        <v/>
      </c>
      <c r="I85" t="str">
        <f t="shared" si="4"/>
        <v/>
      </c>
    </row>
    <row r="86" spans="1:9">
      <c r="A86" s="229" t="str">
        <f>IF(F86&gt;0,基础信息!$B$1,"")</f>
        <v/>
      </c>
      <c r="B86" s="276"/>
      <c r="E86" s="276"/>
      <c r="G86" t="str">
        <f t="shared" si="3"/>
        <v/>
      </c>
      <c r="I86" t="str">
        <f t="shared" si="4"/>
        <v/>
      </c>
    </row>
    <row r="87" spans="1:9">
      <c r="A87" s="229" t="str">
        <f>IF(F87&gt;0,基础信息!$B$1,"")</f>
        <v/>
      </c>
      <c r="B87" s="276"/>
      <c r="E87" s="276"/>
      <c r="G87" t="str">
        <f t="shared" si="3"/>
        <v/>
      </c>
      <c r="I87" t="str">
        <f t="shared" si="4"/>
        <v/>
      </c>
    </row>
    <row r="88" spans="1:9">
      <c r="A88" s="229" t="str">
        <f>IF(F88&gt;0,基础信息!$B$1,"")</f>
        <v/>
      </c>
      <c r="B88" s="276"/>
      <c r="E88" s="276"/>
      <c r="G88" t="str">
        <f t="shared" si="3"/>
        <v/>
      </c>
      <c r="I88" t="str">
        <f t="shared" si="4"/>
        <v/>
      </c>
    </row>
    <row r="89" spans="1:9">
      <c r="A89" s="229" t="str">
        <f>IF(F89&gt;0,基础信息!$B$1,"")</f>
        <v/>
      </c>
      <c r="B89" s="276"/>
      <c r="E89" s="276"/>
      <c r="I89" t="str">
        <f t="shared" si="4"/>
        <v/>
      </c>
    </row>
    <row r="90" spans="1:9">
      <c r="A90" s="229" t="str">
        <f>IF(F90&gt;0,基础信息!$B$1,"")</f>
        <v/>
      </c>
      <c r="B90" s="276"/>
      <c r="E90" s="276"/>
      <c r="I90" t="str">
        <f t="shared" si="4"/>
        <v/>
      </c>
    </row>
    <row r="91" spans="1:9">
      <c r="A91" s="229" t="str">
        <f>IF(F91&gt;0,基础信息!$B$1,"")</f>
        <v/>
      </c>
      <c r="B91" s="276"/>
      <c r="E91" s="276"/>
      <c r="I91" t="str">
        <f t="shared" si="4"/>
        <v/>
      </c>
    </row>
    <row r="92" spans="1:9">
      <c r="A92" s="229" t="str">
        <f>IF(F92&gt;0,基础信息!$B$1,"")</f>
        <v/>
      </c>
      <c r="B92" s="276"/>
      <c r="E92" s="276"/>
      <c r="I92" t="str">
        <f t="shared" si="4"/>
        <v/>
      </c>
    </row>
    <row r="93" spans="1:9">
      <c r="A93" s="229" t="str">
        <f>IF(F93&gt;0,基础信息!$B$1,"")</f>
        <v/>
      </c>
      <c r="B93" s="276"/>
      <c r="E93" s="276"/>
      <c r="I93" t="str">
        <f t="shared" si="4"/>
        <v/>
      </c>
    </row>
    <row r="94" spans="1:9">
      <c r="A94" s="229" t="str">
        <f>IF(F94&gt;0,基础信息!$B$1,"")</f>
        <v/>
      </c>
      <c r="B94" s="276"/>
      <c r="E94" s="276"/>
      <c r="I94" t="str">
        <f t="shared" si="4"/>
        <v/>
      </c>
    </row>
    <row r="95" spans="1:9">
      <c r="A95" s="229" t="str">
        <f>IF(F95&gt;0,基础信息!$B$1,"")</f>
        <v/>
      </c>
      <c r="B95" s="276"/>
      <c r="E95" s="276"/>
      <c r="I95" t="str">
        <f t="shared" si="4"/>
        <v/>
      </c>
    </row>
    <row r="96" spans="1:9">
      <c r="A96" s="229" t="str">
        <f>IF(F96&gt;0,基础信息!$B$1,"")</f>
        <v/>
      </c>
      <c r="B96" s="276"/>
      <c r="E96" s="276"/>
      <c r="I96" t="str">
        <f t="shared" si="4"/>
        <v/>
      </c>
    </row>
    <row r="97" spans="1:9">
      <c r="A97" s="229" t="str">
        <f>IF(F97&gt;0,基础信息!$B$1,"")</f>
        <v/>
      </c>
      <c r="B97" s="276"/>
      <c r="E97" s="276"/>
      <c r="I97" t="str">
        <f t="shared" si="4"/>
        <v/>
      </c>
    </row>
    <row r="98" spans="1:9">
      <c r="A98" s="229" t="str">
        <f>IF(F98&gt;0,基础信息!$B$1,"")</f>
        <v/>
      </c>
      <c r="B98" s="276"/>
      <c r="E98" s="276"/>
      <c r="I98" t="str">
        <f t="shared" si="4"/>
        <v/>
      </c>
    </row>
    <row r="99" spans="1:9">
      <c r="A99" s="229" t="str">
        <f>IF(F99&gt;0,基础信息!$B$1,"")</f>
        <v/>
      </c>
      <c r="B99" s="276"/>
      <c r="E99" s="276"/>
      <c r="I99" t="str">
        <f t="shared" si="4"/>
        <v/>
      </c>
    </row>
    <row r="100" spans="1:9">
      <c r="A100" s="229" t="str">
        <f>IF(F100&gt;0,基础信息!$B$1,"")</f>
        <v/>
      </c>
      <c r="B100" s="276"/>
      <c r="E100" s="276"/>
      <c r="I100" t="str">
        <f t="shared" si="4"/>
        <v/>
      </c>
    </row>
    <row r="101" spans="1:9">
      <c r="A101" s="229" t="str">
        <f>IF(F101&gt;0,基础信息!$B$1,"")</f>
        <v/>
      </c>
      <c r="B101" s="276"/>
      <c r="E101" s="276"/>
      <c r="I101" t="str">
        <f t="shared" si="4"/>
        <v/>
      </c>
    </row>
    <row r="102" spans="1:9">
      <c r="A102" s="229" t="str">
        <f>IF(F102&gt;0,基础信息!$B$1,"")</f>
        <v/>
      </c>
      <c r="B102" s="276"/>
      <c r="E102" s="276"/>
      <c r="I102" t="str">
        <f t="shared" si="4"/>
        <v/>
      </c>
    </row>
    <row r="103" spans="1:9">
      <c r="A103" s="229" t="str">
        <f>IF(F103&gt;0,基础信息!$B$1,"")</f>
        <v/>
      </c>
      <c r="B103" s="276"/>
      <c r="E103" s="276"/>
      <c r="I103" t="str">
        <f t="shared" si="4"/>
        <v/>
      </c>
    </row>
    <row r="104" spans="1:9">
      <c r="A104" s="229" t="str">
        <f>IF(F104&gt;0,基础信息!$B$1,"")</f>
        <v/>
      </c>
      <c r="B104" s="276"/>
      <c r="E104" s="276"/>
      <c r="I104" t="str">
        <f t="shared" si="4"/>
        <v/>
      </c>
    </row>
    <row r="105" spans="1:9">
      <c r="A105" s="229" t="str">
        <f>IF(F105&gt;0,基础信息!$B$1,"")</f>
        <v/>
      </c>
      <c r="B105" s="276"/>
      <c r="E105" s="276"/>
      <c r="I105" t="str">
        <f t="shared" si="4"/>
        <v/>
      </c>
    </row>
    <row r="106" spans="1:9">
      <c r="A106" s="229" t="str">
        <f>IF(F106&gt;0,基础信息!$B$1,"")</f>
        <v/>
      </c>
      <c r="E106" s="276"/>
      <c r="I106" t="str">
        <f t="shared" si="4"/>
        <v/>
      </c>
    </row>
    <row r="107" spans="1:9">
      <c r="A107" s="229" t="str">
        <f>IF(F107&gt;0,基础信息!$B$1,"")</f>
        <v/>
      </c>
      <c r="E107" s="276"/>
      <c r="I107" t="str">
        <f t="shared" si="4"/>
        <v/>
      </c>
    </row>
    <row r="108" spans="1:9">
      <c r="A108" s="229" t="str">
        <f>IF(F108&gt;0,基础信息!$B$1,"")</f>
        <v/>
      </c>
      <c r="E108" s="276"/>
      <c r="I108" t="str">
        <f t="shared" si="4"/>
        <v/>
      </c>
    </row>
    <row r="109" spans="1:9">
      <c r="A109" s="229" t="str">
        <f>IF(F109&gt;0,基础信息!$B$1,"")</f>
        <v/>
      </c>
      <c r="E109" s="276"/>
      <c r="I109" t="str">
        <f t="shared" si="4"/>
        <v/>
      </c>
    </row>
    <row r="110" spans="1:9">
      <c r="A110" s="229" t="str">
        <f>IF(F110&gt;0,基础信息!$B$1,"")</f>
        <v/>
      </c>
      <c r="I110" t="str">
        <f t="shared" si="4"/>
        <v/>
      </c>
    </row>
    <row r="111" spans="1:9">
      <c r="A111" s="229" t="str">
        <f>IF(F111&gt;0,基础信息!$B$1,"")</f>
        <v/>
      </c>
      <c r="I111" t="str">
        <f t="shared" si="4"/>
        <v/>
      </c>
    </row>
    <row r="112" spans="1:9">
      <c r="A112" s="229" t="str">
        <f>IF(F112&gt;0,基础信息!$B$1,"")</f>
        <v/>
      </c>
      <c r="I112" t="str">
        <f t="shared" si="4"/>
        <v/>
      </c>
    </row>
    <row r="113" spans="1:9">
      <c r="A113" s="229" t="str">
        <f>IF(F113&gt;0,基础信息!$B$1,"")</f>
        <v/>
      </c>
      <c r="I113" t="str">
        <f t="shared" si="4"/>
        <v/>
      </c>
    </row>
    <row r="114" spans="1:9">
      <c r="A114" s="229" t="str">
        <f>IF(F114&gt;0,基础信息!$B$1,"")</f>
        <v/>
      </c>
      <c r="I114" t="str">
        <f t="shared" si="4"/>
        <v/>
      </c>
    </row>
    <row r="115" spans="1:9">
      <c r="A115" s="229" t="str">
        <f>IF(F115&gt;0,基础信息!$B$1,"")</f>
        <v/>
      </c>
      <c r="I115" t="str">
        <f t="shared" si="4"/>
        <v/>
      </c>
    </row>
    <row r="116" spans="1:9">
      <c r="A116" s="229" t="str">
        <f>IF(F116&gt;0,基础信息!$B$1,"")</f>
        <v/>
      </c>
      <c r="I116" t="str">
        <f t="shared" si="4"/>
        <v/>
      </c>
    </row>
    <row r="117" spans="1:9">
      <c r="A117" s="229" t="str">
        <f>IF(F117&gt;0,基础信息!$B$1,"")</f>
        <v/>
      </c>
      <c r="I117" t="str">
        <f t="shared" si="4"/>
        <v/>
      </c>
    </row>
    <row r="118" spans="1:9">
      <c r="A118" s="229" t="str">
        <f>IF(F118&gt;0,基础信息!$B$1,"")</f>
        <v/>
      </c>
      <c r="I118" t="str">
        <f t="shared" si="4"/>
        <v/>
      </c>
    </row>
    <row r="119" spans="1:9">
      <c r="A119" s="229"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分类表!$24:$24</xm:f>
          </x14:formula1>
          <xm:sqref>C2:C30</xm:sqref>
        </x14:dataValidation>
        <x14:dataValidation type="list" allowBlank="1" showInputMessage="1" showErrorMessage="1" xr:uid="{2564CA1C-2161-4159-84D3-BAE7D638DD65}">
          <x14:formula1>
            <xm:f>分类表!$73:$73</xm:f>
          </x14:formula1>
          <xm:sqref>D2:D34</xm:sqref>
        </x14:dataValidation>
        <x14:dataValidation type="list" allowBlank="1" showInputMessage="1" showErrorMessage="1" xr:uid="{40E7D056-A572-4C45-AA6B-81CAD98BF794}">
          <x14:formula1>
            <xm:f>分类表!$22:$22</xm:f>
          </x14:formula1>
          <xm:sqref>C15:C23</xm:sqref>
        </x14:dataValidation>
        <x14:dataValidation type="list" allowBlank="1" showInputMessage="1" showErrorMessage="1" xr:uid="{E1FED5B4-54AB-43A0-9ECD-75F5EC0970F5}">
          <x14:formula1>
            <xm:f>分类表!$26:$26</xm:f>
          </x14:formula1>
          <xm:sqref>B2:B105</xm:sqref>
        </x14:dataValidation>
        <x14:dataValidation type="list" allowBlank="1" showInputMessage="1" showErrorMessage="1" xr:uid="{364DC3B8-22A3-4C6A-BEAD-B450AAA5F6B2}">
          <x14:formula1>
            <xm:f>分类表!$76:$76</xm:f>
          </x14:formula1>
          <xm:sqref>E2:E109</xm:sqref>
        </x14:dataValidation>
      </x14:dataValidations>
    </ext>
  </extLst>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codeName="Sheet228">
    <tabColor rgb="FFFFC000"/>
  </sheetPr>
  <dimension ref="A1:C4"/>
  <sheetViews>
    <sheetView workbookViewId="0">
      <selection activeCell="B2" sqref="B2"/>
    </sheetView>
  </sheetViews>
  <sheetFormatPr defaultRowHeight="13.8"/>
  <cols>
    <col min="1" max="2" width="8.88671875" style="18"/>
    <col min="3" max="3" width="20.44140625" style="18" bestFit="1" customWidth="1"/>
    <col min="4" max="16384" width="8.88671875" style="18"/>
  </cols>
  <sheetData>
    <row r="1" spans="1:3" ht="14.4">
      <c r="A1" s="19" t="s">
        <v>28</v>
      </c>
      <c r="B1" s="20" t="s">
        <v>3361</v>
      </c>
      <c r="C1" s="20" t="s">
        <v>432</v>
      </c>
    </row>
    <row r="2" spans="1:3" ht="14.4">
      <c r="A2" s="560">
        <f>未办妥产权证书的无形资产明细表!B2</f>
        <v>0</v>
      </c>
      <c r="B2" s="267">
        <f>未办妥产权证书的无形资产明细表!I2</f>
        <v>0</v>
      </c>
      <c r="C2" s="560">
        <f>未办妥产权证书的无形资产明细表!D2</f>
        <v>0</v>
      </c>
    </row>
    <row r="3" spans="1:3" ht="14.4">
      <c r="A3" s="560">
        <f>未办妥产权证书的无形资产明细表!B3</f>
        <v>0</v>
      </c>
      <c r="B3" s="267">
        <f>未办妥产权证书的无形资产明细表!I3</f>
        <v>0</v>
      </c>
      <c r="C3" s="560">
        <f>未办妥产权证书的无形资产明细表!D3</f>
        <v>0</v>
      </c>
    </row>
    <row r="4" spans="1:3" ht="14.4">
      <c r="A4" s="560">
        <f>未办妥产权证书的无形资产明细表!B4</f>
        <v>0</v>
      </c>
      <c r="B4" s="267">
        <f>未办妥产权证书的无形资产明细表!I4</f>
        <v>0</v>
      </c>
      <c r="C4" s="560">
        <f>未办妥产权证书的无形资产明细表!D4</f>
        <v>0</v>
      </c>
    </row>
  </sheetData>
  <phoneticPr fontId="1" type="noConversion"/>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D242-5815-4508-9808-49DBA86C2C07}">
  <sheetPr codeName="Sheet229"/>
  <dimension ref="A1:I26"/>
  <sheetViews>
    <sheetView workbookViewId="0">
      <selection activeCell="A9" sqref="A9"/>
    </sheetView>
  </sheetViews>
  <sheetFormatPr defaultRowHeight="13.8"/>
  <cols>
    <col min="1" max="1" width="13.88671875" bestFit="1" customWidth="1"/>
    <col min="2" max="2" width="7.109375" customWidth="1"/>
    <col min="3" max="3" width="9.5546875" bestFit="1" customWidth="1"/>
    <col min="4" max="4" width="20.44140625" bestFit="1" customWidth="1"/>
    <col min="5" max="5" width="22.6640625" bestFit="1" customWidth="1"/>
    <col min="6" max="8" width="8.77734375" customWidth="1"/>
    <col min="9" max="9" width="8.77734375" style="229" customWidth="1"/>
  </cols>
  <sheetData>
    <row r="1" spans="1:9">
      <c r="A1" t="s">
        <v>2383</v>
      </c>
      <c r="B1" t="s">
        <v>95</v>
      </c>
      <c r="C1" t="s">
        <v>3537</v>
      </c>
      <c r="D1" t="s">
        <v>432</v>
      </c>
      <c r="E1" t="s">
        <v>3538</v>
      </c>
      <c r="F1" t="s">
        <v>2477</v>
      </c>
      <c r="G1" t="s">
        <v>749</v>
      </c>
      <c r="H1" t="s">
        <v>3539</v>
      </c>
      <c r="I1" s="229" t="s">
        <v>3540</v>
      </c>
    </row>
    <row r="2" spans="1:9">
      <c r="A2" t="str">
        <f>IF(F2&gt;0,基础信息!$B$1,"")</f>
        <v/>
      </c>
      <c r="B2" s="255"/>
      <c r="C2" s="276"/>
      <c r="D2" s="255"/>
      <c r="E2" s="255"/>
      <c r="F2" s="255"/>
      <c r="G2" s="255"/>
      <c r="H2" s="255"/>
      <c r="I2" s="229">
        <f>F2-G2-H2</f>
        <v>0</v>
      </c>
    </row>
    <row r="3" spans="1:9">
      <c r="A3" t="str">
        <f>IF(F3&gt;0,基础信息!$B$1,"")</f>
        <v/>
      </c>
      <c r="B3" s="255"/>
      <c r="C3" s="276"/>
      <c r="D3" s="255"/>
      <c r="E3" s="255"/>
      <c r="F3" s="255"/>
      <c r="G3" s="255"/>
      <c r="H3" s="255"/>
      <c r="I3" s="229">
        <f t="shared" ref="I3:I26" si="0">F3-G3-H3</f>
        <v>0</v>
      </c>
    </row>
    <row r="4" spans="1:9">
      <c r="A4" t="str">
        <f>IF(F4&gt;0,基础信息!$B$1,"")</f>
        <v/>
      </c>
      <c r="B4" s="255"/>
      <c r="C4" s="276"/>
      <c r="D4" s="255"/>
      <c r="E4" s="255"/>
      <c r="F4" s="255"/>
      <c r="G4" s="255"/>
      <c r="H4" s="255"/>
      <c r="I4" s="229">
        <f t="shared" si="0"/>
        <v>0</v>
      </c>
    </row>
    <row r="5" spans="1:9">
      <c r="A5" t="str">
        <f>IF(F5&gt;0,基础信息!$B$1,"")</f>
        <v/>
      </c>
      <c r="B5" s="255"/>
      <c r="C5" s="276"/>
      <c r="D5" s="255"/>
      <c r="E5" s="255"/>
      <c r="F5" s="255"/>
      <c r="G5" s="255"/>
      <c r="H5" s="255"/>
      <c r="I5" s="229">
        <f t="shared" si="0"/>
        <v>0</v>
      </c>
    </row>
    <row r="6" spans="1:9">
      <c r="A6" t="str">
        <f>IF(F6&gt;0,基础信息!$B$1,"")</f>
        <v/>
      </c>
      <c r="B6" s="255"/>
      <c r="C6" s="276"/>
      <c r="D6" s="255"/>
      <c r="E6" s="255"/>
      <c r="F6" s="255"/>
      <c r="G6" s="255"/>
      <c r="H6" s="255"/>
      <c r="I6" s="229">
        <f t="shared" si="0"/>
        <v>0</v>
      </c>
    </row>
    <row r="7" spans="1:9">
      <c r="A7" t="str">
        <f>IF(F7&gt;0,基础信息!$B$1,"")</f>
        <v/>
      </c>
      <c r="B7" s="255"/>
      <c r="C7" s="276"/>
      <c r="D7" s="255"/>
      <c r="E7" s="255"/>
      <c r="F7" s="255"/>
      <c r="G7" s="255"/>
      <c r="H7" s="255"/>
      <c r="I7" s="229">
        <f t="shared" si="0"/>
        <v>0</v>
      </c>
    </row>
    <row r="8" spans="1:9">
      <c r="A8" t="str">
        <f>IF(F8&gt;0,基础信息!$B$1,"")</f>
        <v/>
      </c>
      <c r="B8" s="255"/>
      <c r="C8" s="276"/>
      <c r="D8" s="255"/>
      <c r="E8" s="255"/>
      <c r="F8" s="255"/>
      <c r="G8" s="255"/>
      <c r="H8" s="255"/>
      <c r="I8" s="229">
        <f t="shared" si="0"/>
        <v>0</v>
      </c>
    </row>
    <row r="9" spans="1:9">
      <c r="A9" t="str">
        <f>IF(F9&gt;0,基础信息!$B$1,"")</f>
        <v/>
      </c>
      <c r="B9" s="255"/>
      <c r="C9" s="276"/>
      <c r="D9" s="255"/>
      <c r="E9" s="255"/>
      <c r="F9" s="255"/>
      <c r="G9" s="255"/>
      <c r="H9" s="255"/>
      <c r="I9" s="229">
        <f t="shared" si="0"/>
        <v>0</v>
      </c>
    </row>
    <row r="10" spans="1:9">
      <c r="A10" t="str">
        <f>IF(F10&gt;0,基础信息!$B$1,"")</f>
        <v/>
      </c>
      <c r="B10" s="255"/>
      <c r="C10" s="276"/>
      <c r="D10" s="255"/>
      <c r="E10" s="255"/>
      <c r="F10" s="255"/>
      <c r="G10" s="255"/>
      <c r="H10" s="255"/>
      <c r="I10" s="229">
        <f t="shared" si="0"/>
        <v>0</v>
      </c>
    </row>
    <row r="11" spans="1:9">
      <c r="A11" t="str">
        <f>IF(F11&gt;0,基础信息!$B$1,"")</f>
        <v/>
      </c>
      <c r="B11" s="255"/>
      <c r="C11" s="276"/>
      <c r="D11" s="255"/>
      <c r="E11" s="255"/>
      <c r="F11" s="255"/>
      <c r="G11" s="255"/>
      <c r="H11" s="255"/>
      <c r="I11" s="229">
        <f t="shared" si="0"/>
        <v>0</v>
      </c>
    </row>
    <row r="12" spans="1:9">
      <c r="A12" t="str">
        <f>IF(F12&gt;0,基础信息!$B$1,"")</f>
        <v/>
      </c>
      <c r="B12" s="255"/>
      <c r="C12" s="276"/>
      <c r="D12" s="255"/>
      <c r="E12" s="255"/>
      <c r="F12" s="255"/>
      <c r="G12" s="255"/>
      <c r="H12" s="255"/>
      <c r="I12" s="229">
        <f t="shared" si="0"/>
        <v>0</v>
      </c>
    </row>
    <row r="13" spans="1:9">
      <c r="A13" t="str">
        <f>IF(F13&gt;0,基础信息!$B$1,"")</f>
        <v/>
      </c>
      <c r="B13" s="255"/>
      <c r="C13" s="276"/>
      <c r="D13" s="255"/>
      <c r="E13" s="255"/>
      <c r="F13" s="255"/>
      <c r="G13" s="255"/>
      <c r="H13" s="255"/>
      <c r="I13" s="229">
        <f t="shared" si="0"/>
        <v>0</v>
      </c>
    </row>
    <row r="14" spans="1:9">
      <c r="A14" t="str">
        <f>IF(F14&gt;0,基础信息!$B$1,"")</f>
        <v/>
      </c>
      <c r="B14" s="255"/>
      <c r="C14" s="276"/>
      <c r="D14" s="255"/>
      <c r="E14" s="255"/>
      <c r="F14" s="255"/>
      <c r="G14" s="255"/>
      <c r="H14" s="255"/>
      <c r="I14" s="229">
        <f t="shared" si="0"/>
        <v>0</v>
      </c>
    </row>
    <row r="15" spans="1:9">
      <c r="A15" t="str">
        <f>IF(F15&gt;0,基础信息!$B$1,"")</f>
        <v/>
      </c>
      <c r="B15" s="255"/>
      <c r="C15" s="276"/>
      <c r="D15" s="255"/>
      <c r="E15" s="255"/>
      <c r="F15" s="255"/>
      <c r="G15" s="255"/>
      <c r="H15" s="255"/>
      <c r="I15" s="229">
        <f t="shared" si="0"/>
        <v>0</v>
      </c>
    </row>
    <row r="16" spans="1:9">
      <c r="A16" t="str">
        <f>IF(F16&gt;0,基础信息!$B$1,"")</f>
        <v/>
      </c>
      <c r="B16" s="255"/>
      <c r="C16" s="276"/>
      <c r="D16" s="255"/>
      <c r="E16" s="255"/>
      <c r="F16" s="255"/>
      <c r="G16" s="255"/>
      <c r="H16" s="255"/>
      <c r="I16" s="229">
        <f t="shared" si="0"/>
        <v>0</v>
      </c>
    </row>
    <row r="17" spans="1:9">
      <c r="A17" t="str">
        <f>IF(F17&gt;0,基础信息!$B$1,"")</f>
        <v/>
      </c>
      <c r="B17" s="255"/>
      <c r="C17" s="276"/>
      <c r="D17" s="255"/>
      <c r="E17" s="255"/>
      <c r="F17" s="255"/>
      <c r="G17" s="255"/>
      <c r="H17" s="255"/>
      <c r="I17" s="229">
        <f t="shared" si="0"/>
        <v>0</v>
      </c>
    </row>
    <row r="18" spans="1:9">
      <c r="A18" t="str">
        <f>IF(F18&gt;0,基础信息!$B$1,"")</f>
        <v/>
      </c>
      <c r="B18" s="255"/>
      <c r="C18" s="276"/>
      <c r="D18" s="255"/>
      <c r="E18" s="255"/>
      <c r="F18" s="255"/>
      <c r="G18" s="255"/>
      <c r="H18" s="255"/>
      <c r="I18" s="229">
        <f t="shared" si="0"/>
        <v>0</v>
      </c>
    </row>
    <row r="19" spans="1:9">
      <c r="A19" t="str">
        <f>IF(F19&gt;0,基础信息!$B$1,"")</f>
        <v/>
      </c>
      <c r="B19" s="255"/>
      <c r="C19" s="276"/>
      <c r="D19" s="255"/>
      <c r="E19" s="255"/>
      <c r="F19" s="255"/>
      <c r="G19" s="255"/>
      <c r="H19" s="255"/>
      <c r="I19" s="229">
        <f t="shared" si="0"/>
        <v>0</v>
      </c>
    </row>
    <row r="20" spans="1:9">
      <c r="A20" t="str">
        <f>IF(F20&gt;0,基础信息!$B$1,"")</f>
        <v/>
      </c>
      <c r="B20" s="255"/>
      <c r="C20" s="276"/>
      <c r="D20" s="255"/>
      <c r="E20" s="255"/>
      <c r="F20" s="255"/>
      <c r="G20" s="255"/>
      <c r="H20" s="255"/>
      <c r="I20" s="229">
        <f t="shared" si="0"/>
        <v>0</v>
      </c>
    </row>
    <row r="21" spans="1:9">
      <c r="A21" t="str">
        <f>IF(F21&gt;0,基础信息!$B$1,"")</f>
        <v/>
      </c>
      <c r="B21" s="255"/>
      <c r="C21" s="276"/>
      <c r="D21" s="255"/>
      <c r="E21" s="255"/>
      <c r="F21" s="255"/>
      <c r="G21" s="255"/>
      <c r="H21" s="255"/>
      <c r="I21" s="229">
        <f t="shared" si="0"/>
        <v>0</v>
      </c>
    </row>
    <row r="22" spans="1:9">
      <c r="A22" t="str">
        <f>IF(F22&gt;0,基础信息!$B$1,"")</f>
        <v/>
      </c>
      <c r="B22" s="255"/>
      <c r="C22" s="276"/>
      <c r="D22" s="255"/>
      <c r="E22" s="255"/>
      <c r="F22" s="255"/>
      <c r="G22" s="255"/>
      <c r="H22" s="255"/>
      <c r="I22" s="229">
        <f t="shared" si="0"/>
        <v>0</v>
      </c>
    </row>
    <row r="23" spans="1:9">
      <c r="A23" t="str">
        <f>IF(F23&gt;0,基础信息!$B$1,"")</f>
        <v/>
      </c>
      <c r="B23" s="255"/>
      <c r="C23" s="276"/>
      <c r="D23" s="255"/>
      <c r="E23" s="255"/>
      <c r="F23" s="255"/>
      <c r="G23" s="255"/>
      <c r="H23" s="255"/>
      <c r="I23" s="229">
        <f t="shared" si="0"/>
        <v>0</v>
      </c>
    </row>
    <row r="24" spans="1:9">
      <c r="A24" t="str">
        <f>IF(F24&gt;0,基础信息!$B$1,"")</f>
        <v/>
      </c>
      <c r="B24" s="255"/>
      <c r="C24" s="276"/>
      <c r="D24" s="255"/>
      <c r="E24" s="255"/>
      <c r="F24" s="255"/>
      <c r="G24" s="255"/>
      <c r="H24" s="255"/>
      <c r="I24" s="229">
        <f t="shared" si="0"/>
        <v>0</v>
      </c>
    </row>
    <row r="25" spans="1:9">
      <c r="A25" t="str">
        <f>IF(F25&gt;0,基础信息!$B$1,"")</f>
        <v/>
      </c>
      <c r="B25" s="255"/>
      <c r="D25" s="255"/>
      <c r="E25" s="255"/>
      <c r="F25" s="255"/>
      <c r="G25" s="255"/>
      <c r="H25" s="255"/>
      <c r="I25" s="229">
        <f t="shared" si="0"/>
        <v>0</v>
      </c>
    </row>
    <row r="26" spans="1:9">
      <c r="A26" t="str">
        <f>IF(F26&gt;0,基础信息!$B$1,"")</f>
        <v/>
      </c>
      <c r="B26" s="255"/>
      <c r="D26" s="255"/>
      <c r="E26" s="255"/>
      <c r="F26" s="255"/>
      <c r="G26" s="255"/>
      <c r="H26" s="255"/>
      <c r="I26"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B2E5BE-F17B-4F07-88D5-06DFE013F6C4}">
          <x14:formula1>
            <xm:f>分类表!$26:$26</xm:f>
          </x14:formula1>
          <xm:sqref>C2:C24</xm:sqref>
        </x14:dataValidation>
      </x14:dataValidations>
    </ext>
  </extLst>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codeName="Sheet230">
    <tabColor rgb="FFFFC000"/>
  </sheetPr>
  <dimension ref="A1:H6"/>
  <sheetViews>
    <sheetView workbookViewId="0">
      <selection activeCell="H20" sqref="H19:H20"/>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34" t="s">
        <v>28</v>
      </c>
      <c r="B1" s="534" t="s">
        <v>200</v>
      </c>
      <c r="C1" s="530" t="s">
        <v>473</v>
      </c>
      <c r="D1" s="530" t="s">
        <v>474</v>
      </c>
      <c r="E1" s="534" t="s">
        <v>471</v>
      </c>
      <c r="F1" s="530" t="s">
        <v>472</v>
      </c>
      <c r="G1" s="534" t="s">
        <v>475</v>
      </c>
      <c r="H1" s="534" t="s">
        <v>3350</v>
      </c>
    </row>
    <row r="2" spans="1:8" ht="14.4" customHeight="1">
      <c r="A2" s="558">
        <f>开发支出明细表!B2</f>
        <v>0</v>
      </c>
      <c r="B2" s="558">
        <f>开发支出明细表!C2</f>
        <v>0</v>
      </c>
      <c r="C2" s="558">
        <f>开发支出明细表!D2</f>
        <v>0</v>
      </c>
      <c r="D2" s="558">
        <f>开发支出明细表!E2</f>
        <v>0</v>
      </c>
      <c r="E2" s="558">
        <f>开发支出明细表!F2</f>
        <v>0</v>
      </c>
      <c r="F2" s="558">
        <f>开发支出明细表!G2</f>
        <v>0</v>
      </c>
      <c r="G2" s="558">
        <f>开发支出明细表!H2</f>
        <v>0</v>
      </c>
      <c r="H2" s="534">
        <f>B2+C2+D2-E2-F2-G2</f>
        <v>0</v>
      </c>
    </row>
    <row r="3" spans="1:8" ht="14.4">
      <c r="A3" s="558">
        <f>开发支出明细表!B3</f>
        <v>0</v>
      </c>
      <c r="B3" s="558">
        <f>开发支出明细表!C3</f>
        <v>0</v>
      </c>
      <c r="C3" s="558">
        <f>开发支出明细表!D3</f>
        <v>0</v>
      </c>
      <c r="D3" s="558">
        <f>开发支出明细表!E3</f>
        <v>0</v>
      </c>
      <c r="E3" s="558">
        <f>开发支出明细表!F3</f>
        <v>0</v>
      </c>
      <c r="F3" s="558">
        <f>开发支出明细表!G3</f>
        <v>0</v>
      </c>
      <c r="G3" s="558">
        <f>开发支出明细表!H3</f>
        <v>0</v>
      </c>
      <c r="H3" s="534">
        <f t="shared" ref="H3:H5" si="0">B3+C3+D3-E3-F3-G3</f>
        <v>0</v>
      </c>
    </row>
    <row r="4" spans="1:8" ht="14.4">
      <c r="A4" s="558">
        <f>开发支出明细表!B4</f>
        <v>0</v>
      </c>
      <c r="B4" s="558">
        <f>开发支出明细表!C4</f>
        <v>0</v>
      </c>
      <c r="C4" s="558">
        <f>开发支出明细表!D4</f>
        <v>0</v>
      </c>
      <c r="D4" s="558">
        <f>开发支出明细表!E4</f>
        <v>0</v>
      </c>
      <c r="E4" s="558">
        <f>开发支出明细表!F4</f>
        <v>0</v>
      </c>
      <c r="F4" s="558">
        <f>开发支出明细表!G4</f>
        <v>0</v>
      </c>
      <c r="G4" s="558">
        <f>开发支出明细表!H4</f>
        <v>0</v>
      </c>
      <c r="H4" s="534">
        <f t="shared" si="0"/>
        <v>0</v>
      </c>
    </row>
    <row r="5" spans="1:8" ht="14.4">
      <c r="A5" s="558">
        <f>开发支出明细表!B5</f>
        <v>0</v>
      </c>
      <c r="B5" s="558">
        <f>开发支出明细表!C5</f>
        <v>0</v>
      </c>
      <c r="C5" s="558">
        <f>开发支出明细表!D5</f>
        <v>0</v>
      </c>
      <c r="D5" s="558">
        <f>开发支出明细表!E5</f>
        <v>0</v>
      </c>
      <c r="E5" s="558">
        <f>开发支出明细表!F5</f>
        <v>0</v>
      </c>
      <c r="F5" s="558">
        <f>开发支出明细表!G5</f>
        <v>0</v>
      </c>
      <c r="G5" s="558">
        <f>开发支出明细表!H5</f>
        <v>0</v>
      </c>
      <c r="H5" s="534">
        <f t="shared" si="0"/>
        <v>0</v>
      </c>
    </row>
    <row r="6" spans="1:8" ht="14.4">
      <c r="A6" s="154" t="s">
        <v>204</v>
      </c>
      <c r="B6" s="156">
        <f>SUM(B2:B5)</f>
        <v>0</v>
      </c>
      <c r="C6" s="156">
        <f t="shared" ref="C6:H6" si="1">SUM(C2:C5)</f>
        <v>0</v>
      </c>
      <c r="D6" s="156">
        <f t="shared" si="1"/>
        <v>0</v>
      </c>
      <c r="E6" s="156">
        <f t="shared" si="1"/>
        <v>0</v>
      </c>
      <c r="F6" s="156">
        <f t="shared" si="1"/>
        <v>0</v>
      </c>
      <c r="G6" s="156">
        <f t="shared" si="1"/>
        <v>0</v>
      </c>
      <c r="H6" s="156">
        <f t="shared" si="1"/>
        <v>0</v>
      </c>
    </row>
  </sheetData>
  <phoneticPr fontId="1" type="noConversion"/>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165-78E7-4317-8E22-F1ECC34926B4}">
  <sheetPr codeName="Sheet231"/>
  <dimension ref="A1:I11"/>
  <sheetViews>
    <sheetView workbookViewId="0">
      <selection activeCell="G29" sqref="G29"/>
    </sheetView>
  </sheetViews>
  <sheetFormatPr defaultRowHeight="13.8"/>
  <cols>
    <col min="2" max="2" width="13.44140625" customWidth="1"/>
    <col min="3" max="3" width="7.5546875" bestFit="1" customWidth="1"/>
    <col min="4" max="5" width="13.88671875" bestFit="1" customWidth="1"/>
    <col min="6" max="6" width="16.109375" bestFit="1" customWidth="1"/>
    <col min="7" max="8" width="13.88671875" bestFit="1" customWidth="1"/>
    <col min="9" max="9" width="8.6640625" style="229" bestFit="1" customWidth="1"/>
  </cols>
  <sheetData>
    <row r="1" spans="1:9">
      <c r="A1" t="s">
        <v>2383</v>
      </c>
      <c r="B1" t="s">
        <v>28</v>
      </c>
      <c r="C1" t="s">
        <v>265</v>
      </c>
      <c r="D1" t="s">
        <v>3573</v>
      </c>
      <c r="E1" t="s">
        <v>3574</v>
      </c>
      <c r="F1" t="s">
        <v>471</v>
      </c>
      <c r="G1" t="s">
        <v>472</v>
      </c>
      <c r="H1" t="s">
        <v>3575</v>
      </c>
      <c r="I1" s="229" t="s">
        <v>203</v>
      </c>
    </row>
    <row r="2" spans="1:9">
      <c r="A2" t="str">
        <f>IF(OR(C2&gt;0,I2&gt;0),基础信息!$B$1,"")</f>
        <v/>
      </c>
      <c r="B2" s="255"/>
      <c r="C2" s="255"/>
      <c r="D2" s="255"/>
      <c r="E2" s="255"/>
      <c r="F2" s="255"/>
      <c r="G2" s="255"/>
      <c r="H2" s="255"/>
      <c r="I2" s="229">
        <f>C2+D2+E2-F2-G2-H2</f>
        <v>0</v>
      </c>
    </row>
    <row r="3" spans="1:9">
      <c r="A3" t="str">
        <f>IF(OR(C3&gt;0,I3&gt;0),基础信息!$B$1,"")</f>
        <v/>
      </c>
      <c r="B3" s="255"/>
      <c r="C3" s="255"/>
      <c r="D3" s="255"/>
      <c r="E3" s="255"/>
      <c r="F3" s="255"/>
      <c r="G3" s="255"/>
      <c r="H3" s="255"/>
      <c r="I3" s="229">
        <f t="shared" ref="I3:I11" si="0">C3+D3+E3-F3-G3-H3</f>
        <v>0</v>
      </c>
    </row>
    <row r="4" spans="1:9">
      <c r="A4" t="str">
        <f>IF(OR(C4&gt;0,I4&gt;0),基础信息!$B$1,"")</f>
        <v/>
      </c>
      <c r="B4" s="255"/>
      <c r="C4" s="255"/>
      <c r="D4" s="255"/>
      <c r="E4" s="255"/>
      <c r="F4" s="255"/>
      <c r="G4" s="255"/>
      <c r="H4" s="255"/>
      <c r="I4" s="229">
        <f t="shared" si="0"/>
        <v>0</v>
      </c>
    </row>
    <row r="5" spans="1:9">
      <c r="A5" t="str">
        <f>IF(OR(C5&gt;0,I5&gt;0),基础信息!$B$1,"")</f>
        <v/>
      </c>
      <c r="B5" s="255"/>
      <c r="C5" s="255"/>
      <c r="D5" s="255"/>
      <c r="E5" s="255"/>
      <c r="F5" s="255"/>
      <c r="G5" s="255"/>
      <c r="H5" s="255"/>
      <c r="I5" s="229">
        <f t="shared" si="0"/>
        <v>0</v>
      </c>
    </row>
    <row r="6" spans="1:9">
      <c r="A6" t="str">
        <f>IF(OR(C6&gt;0,I6&gt;0),基础信息!$B$1,"")</f>
        <v/>
      </c>
      <c r="B6" s="255"/>
      <c r="C6" s="255"/>
      <c r="D6" s="255"/>
      <c r="E6" s="255"/>
      <c r="F6" s="255"/>
      <c r="G6" s="255"/>
      <c r="H6" s="255"/>
      <c r="I6" s="229">
        <f t="shared" si="0"/>
        <v>0</v>
      </c>
    </row>
    <row r="7" spans="1:9">
      <c r="A7" t="str">
        <f>IF(OR(C7&gt;0,I7&gt;0),基础信息!$B$1,"")</f>
        <v/>
      </c>
      <c r="B7" s="255"/>
      <c r="C7" s="255"/>
      <c r="D7" s="255"/>
      <c r="E7" s="255"/>
      <c r="F7" s="255"/>
      <c r="G7" s="255"/>
      <c r="H7" s="255"/>
      <c r="I7" s="229">
        <f t="shared" si="0"/>
        <v>0</v>
      </c>
    </row>
    <row r="8" spans="1:9">
      <c r="A8" t="str">
        <f>IF(OR(C8&gt;0,I8&gt;0),基础信息!$B$1,"")</f>
        <v/>
      </c>
      <c r="B8" s="255"/>
      <c r="C8" s="255"/>
      <c r="D8" s="255"/>
      <c r="E8" s="255"/>
      <c r="F8" s="255"/>
      <c r="G8" s="255"/>
      <c r="H8" s="255"/>
      <c r="I8" s="229">
        <f t="shared" si="0"/>
        <v>0</v>
      </c>
    </row>
    <row r="9" spans="1:9">
      <c r="A9" t="str">
        <f>IF(OR(C9&gt;0,I9&gt;0),基础信息!$B$1,"")</f>
        <v/>
      </c>
      <c r="B9" s="255"/>
      <c r="C9" s="255"/>
      <c r="D9" s="255"/>
      <c r="E9" s="255"/>
      <c r="F9" s="255"/>
      <c r="G9" s="255"/>
      <c r="H9" s="255"/>
      <c r="I9" s="229">
        <f t="shared" si="0"/>
        <v>0</v>
      </c>
    </row>
    <row r="10" spans="1:9">
      <c r="A10" t="str">
        <f>IF(OR(C10&gt;0,I10&gt;0),基础信息!$B$1,"")</f>
        <v/>
      </c>
      <c r="B10" s="255"/>
      <c r="C10" s="255"/>
      <c r="D10" s="255"/>
      <c r="E10" s="255"/>
      <c r="F10" s="255"/>
      <c r="G10" s="255"/>
      <c r="H10" s="255"/>
      <c r="I10" s="229">
        <f t="shared" si="0"/>
        <v>0</v>
      </c>
    </row>
    <row r="11" spans="1:9">
      <c r="B11" s="255"/>
      <c r="C11" s="255"/>
      <c r="D11" s="255"/>
      <c r="E11" s="255"/>
      <c r="F11" s="255"/>
      <c r="G11" s="255"/>
      <c r="H11" s="255"/>
      <c r="I11" s="229">
        <f t="shared" si="0"/>
        <v>0</v>
      </c>
    </row>
  </sheetData>
  <phoneticPr fontId="1" type="noConversion"/>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codeName="Sheet232">
    <tabColor rgb="FFFFC000"/>
  </sheetPr>
  <dimension ref="A1:E4"/>
  <sheetViews>
    <sheetView workbookViewId="0">
      <selection activeCell="F12" sqref="F12"/>
    </sheetView>
  </sheetViews>
  <sheetFormatPr defaultRowHeight="13.8"/>
  <cols>
    <col min="1" max="1" width="13" style="18" customWidth="1"/>
    <col min="2" max="5" width="11.77734375" style="18" customWidth="1"/>
    <col min="6" max="16384" width="8.88671875" style="18"/>
  </cols>
  <sheetData>
    <row r="1" spans="1:5" ht="28.8">
      <c r="A1" s="20" t="s">
        <v>476</v>
      </c>
      <c r="B1" s="35" t="s">
        <v>200</v>
      </c>
      <c r="C1" s="35" t="s">
        <v>342</v>
      </c>
      <c r="D1" s="35" t="s">
        <v>335</v>
      </c>
      <c r="E1" s="35" t="s">
        <v>199</v>
      </c>
    </row>
    <row r="2" spans="1:5" ht="14.4">
      <c r="A2" s="322"/>
      <c r="B2" s="323"/>
      <c r="C2" s="264"/>
      <c r="D2" s="264"/>
      <c r="E2" s="264">
        <f>ROUND(B2+C2-D2,2)</f>
        <v>0</v>
      </c>
    </row>
    <row r="3" spans="1:5" ht="14.4">
      <c r="A3" s="322"/>
      <c r="B3" s="323"/>
      <c r="C3" s="264"/>
      <c r="D3" s="264"/>
      <c r="E3" s="264">
        <f>ROUND(B3+C3-D3,2)</f>
        <v>0</v>
      </c>
    </row>
    <row r="4" spans="1:5" ht="14.4">
      <c r="A4" s="49" t="s">
        <v>204</v>
      </c>
      <c r="B4" s="324">
        <f>ROUND(SUM(B2:B3),2)</f>
        <v>0</v>
      </c>
      <c r="C4" s="324">
        <f>ROUND(SUM(C2:C3),2)</f>
        <v>0</v>
      </c>
      <c r="D4" s="324">
        <f>ROUND(SUM(D2:D3),2)</f>
        <v>0</v>
      </c>
      <c r="E4" s="324">
        <f>ROUND(SUM(E2:E3),2)</f>
        <v>0</v>
      </c>
    </row>
  </sheetData>
  <phoneticPr fontId="1" type="noConversion"/>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codeName="Sheet233">
    <tabColor rgb="FFFFC000"/>
  </sheetPr>
  <dimension ref="A1:E4"/>
  <sheetViews>
    <sheetView workbookViewId="0">
      <selection activeCell="H15" sqref="H15"/>
    </sheetView>
  </sheetViews>
  <sheetFormatPr defaultRowHeight="13.8"/>
  <cols>
    <col min="1" max="1" width="16.5546875" style="18" customWidth="1"/>
    <col min="2" max="16384" width="8.88671875" style="18"/>
  </cols>
  <sheetData>
    <row r="1" spans="1:5" ht="14.4">
      <c r="A1" s="20" t="s">
        <v>476</v>
      </c>
      <c r="B1" s="35" t="s">
        <v>200</v>
      </c>
      <c r="C1" s="35" t="s">
        <v>342</v>
      </c>
      <c r="D1" s="35" t="s">
        <v>335</v>
      </c>
      <c r="E1" s="35" t="s">
        <v>199</v>
      </c>
    </row>
    <row r="2" spans="1:5" ht="14.4">
      <c r="A2" s="322"/>
      <c r="B2" s="323"/>
      <c r="C2" s="264"/>
      <c r="D2" s="264"/>
      <c r="E2" s="156">
        <f>ROUND(B2+C2-D2,2)</f>
        <v>0</v>
      </c>
    </row>
    <row r="3" spans="1:5" ht="14.4">
      <c r="A3" s="322"/>
      <c r="B3" s="323"/>
      <c r="C3" s="264"/>
      <c r="D3" s="264"/>
      <c r="E3" s="156">
        <f>ROUND(B3+C3-D3,2)</f>
        <v>0</v>
      </c>
    </row>
    <row r="4" spans="1:5" ht="14.4">
      <c r="A4" s="49" t="s">
        <v>204</v>
      </c>
      <c r="B4" s="324">
        <f>ROUND(SUM(B2:B3),2)</f>
        <v>0</v>
      </c>
      <c r="C4" s="324">
        <f>ROUND(SUM(C2:C3),2)</f>
        <v>0</v>
      </c>
      <c r="D4" s="324">
        <f>ROUND(SUM(D2:D3),2)</f>
        <v>0</v>
      </c>
      <c r="E4" s="324">
        <f>ROUND(SUM(E2:E3),2)</f>
        <v>0</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sheetPr codeName="Sheet21">
    <tabColor rgb="FF00B0F0"/>
  </sheetPr>
  <dimension ref="A1:D234"/>
  <sheetViews>
    <sheetView topLeftCell="A154" workbookViewId="0">
      <selection activeCell="D176" sqref="D176"/>
    </sheetView>
  </sheetViews>
  <sheetFormatPr defaultRowHeight="13.8"/>
  <cols>
    <col min="1" max="1" width="68" style="18" bestFit="1" customWidth="1"/>
    <col min="2" max="3" width="18.109375" style="1" bestFit="1" customWidth="1"/>
    <col min="4" max="4" width="17.109375" style="18" bestFit="1" customWidth="1"/>
    <col min="5" max="16384" width="8.88671875" style="18"/>
  </cols>
  <sheetData>
    <row r="1" spans="1:3">
      <c r="A1" s="62" t="s">
        <v>1504</v>
      </c>
      <c r="B1" s="1" t="s">
        <v>1506</v>
      </c>
      <c r="C1" s="1" t="s">
        <v>1507</v>
      </c>
    </row>
    <row r="2" spans="1:3">
      <c r="A2" s="250" t="s">
        <v>1508</v>
      </c>
      <c r="B2" s="249"/>
      <c r="C2" s="249"/>
    </row>
    <row r="3" spans="1:3">
      <c r="A3" s="18" t="s">
        <v>1505</v>
      </c>
      <c r="B3" s="1">
        <f>ROUND(资产表!B54-负债表!B75,2)</f>
        <v>0</v>
      </c>
      <c r="C3" s="1">
        <f>ROUND(资产表!C54-负债表!C75,2)</f>
        <v>0</v>
      </c>
    </row>
    <row r="4" spans="1:3">
      <c r="A4" s="18" t="s">
        <v>1510</v>
      </c>
      <c r="B4" s="1">
        <f>ROUND(负债表!B55-本期所有者权益变动表!B34,2)</f>
        <v>0</v>
      </c>
      <c r="C4" s="1">
        <f>ROUND(负债表!C55-本期所有者权益变动表!B2,2)</f>
        <v>0</v>
      </c>
    </row>
    <row r="5" spans="1:3">
      <c r="A5" s="18" t="s">
        <v>1511</v>
      </c>
      <c r="B5" s="1">
        <f>ROUND(负债表!B56-SUM(本期所有者权益变动表!C34:E34),2)</f>
        <v>0</v>
      </c>
      <c r="C5" s="1">
        <f>ROUND(负债表!C56-SUM(本期所有者权益变动表!C2:E2),2)</f>
        <v>0</v>
      </c>
    </row>
    <row r="6" spans="1:3">
      <c r="A6" s="18" t="s">
        <v>1512</v>
      </c>
      <c r="B6" s="1">
        <f>ROUND(负债表!B57-本期所有者权益变动表!C34,2)</f>
        <v>0</v>
      </c>
      <c r="C6" s="1">
        <f>ROUND(负债表!C57-本期所有者权益变动表!C2,2)</f>
        <v>0</v>
      </c>
    </row>
    <row r="7" spans="1:3">
      <c r="A7" s="18" t="s">
        <v>1513</v>
      </c>
      <c r="B7" s="1">
        <f>ROUND(负债表!B58-本期所有者权益变动表!D34,2)</f>
        <v>0</v>
      </c>
      <c r="C7" s="1">
        <f>ROUND(负债表!C58-本期所有者权益变动表!D2,2)</f>
        <v>0</v>
      </c>
    </row>
    <row r="8" spans="1:3">
      <c r="A8" s="18" t="s">
        <v>1514</v>
      </c>
      <c r="B8" s="1">
        <f>ROUND(负债表!B59-本期所有者权益变动表!F34,2)</f>
        <v>0</v>
      </c>
      <c r="C8" s="1">
        <f>ROUND(负债表!C59-本期所有者权益变动表!F2,2)</f>
        <v>0</v>
      </c>
    </row>
    <row r="9" spans="1:3">
      <c r="A9" s="18" t="s">
        <v>1515</v>
      </c>
      <c r="B9" s="1">
        <f>ROUND(负债表!B60-本期所有者权益变动表!G34,2)</f>
        <v>0</v>
      </c>
      <c r="C9" s="1">
        <f>ROUND(负债表!C60-本期所有者权益变动表!G2,2)</f>
        <v>0</v>
      </c>
    </row>
    <row r="10" spans="1:3">
      <c r="A10" s="18" t="s">
        <v>1516</v>
      </c>
      <c r="B10" s="1">
        <f>ROUND(负债表!B61-本期所有者权益变动表!H34,2)</f>
        <v>0</v>
      </c>
      <c r="C10" s="1">
        <f>ROUND(负债表!C61-本期所有者权益变动表!H2,2)</f>
        <v>0</v>
      </c>
    </row>
    <row r="11" spans="1:3">
      <c r="A11" s="18" t="s">
        <v>1517</v>
      </c>
      <c r="B11" s="1">
        <f>ROUND(负债表!B63-本期所有者权益变动表!I34,2)</f>
        <v>0</v>
      </c>
      <c r="C11" s="1">
        <f>ROUND(负债表!C63-本期所有者权益变动表!I2,2)</f>
        <v>0</v>
      </c>
    </row>
    <row r="12" spans="1:3">
      <c r="A12" s="18" t="s">
        <v>1518</v>
      </c>
      <c r="B12" s="1">
        <f>ROUND(负债表!B64-本期所有者权益变动表!J34,2)</f>
        <v>0</v>
      </c>
      <c r="C12" s="1">
        <f>ROUND(负债表!C64-本期所有者权益变动表!J2,2)</f>
        <v>0</v>
      </c>
    </row>
    <row r="13" spans="1:3">
      <c r="A13" s="18" t="s">
        <v>1519</v>
      </c>
      <c r="B13" s="1">
        <f>ROUND(负债表!B70-本期所有者权益变动表!K34,2)</f>
        <v>0</v>
      </c>
      <c r="C13" s="1">
        <f>ROUND(负债表!C70-本期所有者权益变动表!K2,2)</f>
        <v>0</v>
      </c>
    </row>
    <row r="14" spans="1:3">
      <c r="A14" s="18" t="s">
        <v>1520</v>
      </c>
      <c r="B14" s="1">
        <f>ROUND(负债表!B71-本期所有者权益变动表!L34,2)</f>
        <v>0</v>
      </c>
      <c r="C14" s="1">
        <f>ROUND(负债表!C71-本期所有者权益变动表!L2,2)</f>
        <v>0</v>
      </c>
    </row>
    <row r="15" spans="1:3">
      <c r="A15" s="18" t="s">
        <v>1521</v>
      </c>
      <c r="B15" s="1">
        <f>ROUND(负债表!B72-本期所有者权益变动表!M34,2)</f>
        <v>0</v>
      </c>
      <c r="C15" s="1">
        <f>ROUND(负债表!C72-本期所有者权益变动表!M2,2)</f>
        <v>0</v>
      </c>
    </row>
    <row r="16" spans="1:3">
      <c r="A16" s="18" t="s">
        <v>1522</v>
      </c>
      <c r="B16" s="1">
        <f>ROUND(负债表!B73-本期所有者权益变动表!N34,2)</f>
        <v>0</v>
      </c>
      <c r="C16" s="1">
        <f>ROUND(负债表!C73-本期所有者权益变动表!N2,2)</f>
        <v>0</v>
      </c>
    </row>
    <row r="17" spans="1:3">
      <c r="A17" s="18" t="s">
        <v>1523</v>
      </c>
      <c r="B17" s="1">
        <f>ROUND(负债表!B74-本期所有者权益变动表!O34,2)</f>
        <v>0</v>
      </c>
      <c r="C17" s="1">
        <f>ROUND(负债表!C74-本期所有者权益变动表!O2,2)</f>
        <v>0</v>
      </c>
    </row>
    <row r="18" spans="1:3">
      <c r="A18" s="248" t="s">
        <v>1509</v>
      </c>
      <c r="B18" s="249"/>
      <c r="C18" s="249"/>
    </row>
    <row r="19" spans="1:3">
      <c r="A19" s="150" t="s">
        <v>1536</v>
      </c>
      <c r="B19" s="1">
        <f>ROUND(资产表!B3-货币资金!B5,2)</f>
        <v>0</v>
      </c>
      <c r="C19" s="1">
        <f>ROUND(资产表!C3-货币资金!C5,2)</f>
        <v>0</v>
      </c>
    </row>
    <row r="20" spans="1:3">
      <c r="A20" s="150" t="s">
        <v>1537</v>
      </c>
      <c r="B20" s="1">
        <f>ROUND(资产表!B6-交易性金融资产!B10,2)</f>
        <v>0</v>
      </c>
      <c r="C20" s="1">
        <f>ROUND(资产表!C6-交易性金融资产!C10,2)</f>
        <v>0</v>
      </c>
    </row>
    <row r="21" spans="1:3">
      <c r="A21" s="150" t="s">
        <v>1538</v>
      </c>
      <c r="B21" s="1">
        <f>ROUND(以公允价值计量且其变动计入当期损益的金融资产!B8-资产表!B7,2)</f>
        <v>0</v>
      </c>
      <c r="C21" s="1">
        <f>ROUND(以公允价值计量且其变动计入当期损益的金融资产!C8-资产表!C7,2)</f>
        <v>0</v>
      </c>
    </row>
    <row r="22" spans="1:3">
      <c r="A22" s="150" t="s">
        <v>1539</v>
      </c>
      <c r="B22" s="1">
        <f>ROUND(资产表!B8-衍生金融资产!B10,2)</f>
        <v>0</v>
      </c>
      <c r="C22" s="1">
        <f>ROUND(资产表!C8-衍生金融资产!C10,2)</f>
        <v>0</v>
      </c>
    </row>
    <row r="23" spans="1:3">
      <c r="A23" s="150" t="s">
        <v>828</v>
      </c>
      <c r="B23" s="1">
        <f>ROUND(资产表!B9-应收票据分类新金融工具准则!D4-资产表!B9,2)</f>
        <v>0</v>
      </c>
      <c r="C23" s="1">
        <f>ROUND(资产表!C9-应收票据分类新金融工具准则!G4-资产表!C9,2)</f>
        <v>0</v>
      </c>
    </row>
    <row r="24" spans="1:3">
      <c r="A24" s="150" t="s">
        <v>835</v>
      </c>
      <c r="B24" s="1">
        <f>ROUND(资产表!B10-应收账款期末数!F4,2)</f>
        <v>0</v>
      </c>
      <c r="C24" s="1">
        <f>ROUND(资产表!C10-应收账款期初数!F4,2)</f>
        <v>0</v>
      </c>
    </row>
    <row r="25" spans="1:3">
      <c r="A25" s="150" t="s">
        <v>4850</v>
      </c>
      <c r="B25" s="1">
        <f>应收账款期末数!B2-期末单项计提坏账准备的应收账款!B9</f>
        <v>0</v>
      </c>
      <c r="C25" s="1">
        <f>应收账款期末数!D2-期末单项计提坏账准备的应收账款!C9</f>
        <v>0</v>
      </c>
    </row>
    <row r="26" spans="1:3">
      <c r="A26" s="150" t="s">
        <v>4851</v>
      </c>
      <c r="B26" s="1">
        <f>应收账款期末数!B3-采用组合计提坏账准备的应收账款!B5</f>
        <v>0</v>
      </c>
      <c r="C26" s="1">
        <f>应收账款期末数!D3-采用组合计提坏账准备的应收账款!C5</f>
        <v>0</v>
      </c>
    </row>
    <row r="27" spans="1:3">
      <c r="A27" s="150" t="s">
        <v>4852</v>
      </c>
      <c r="B27" s="1">
        <f>应收账款期末数!B4-应收账款账龄情况!B8</f>
        <v>0</v>
      </c>
    </row>
    <row r="28" spans="1:3">
      <c r="A28" s="150" t="s">
        <v>4853</v>
      </c>
      <c r="B28" s="1">
        <f>应收账款坏账准备变动明细情况!H4-应收账款期末数!D4</f>
        <v>0</v>
      </c>
      <c r="C28" s="1">
        <f>应收账款期初数!D4-应收账款坏账准备变动明细情况!B4</f>
        <v>0</v>
      </c>
    </row>
    <row r="29" spans="1:3">
      <c r="A29" s="150" t="s">
        <v>1540</v>
      </c>
      <c r="B29" s="1">
        <f>ROUND(资产表!B11-应收款项融资!B4,2)</f>
        <v>0</v>
      </c>
      <c r="C29" s="1">
        <f>ROUND(资产表!C11-应收款项融资!C4,2)</f>
        <v>0</v>
      </c>
    </row>
    <row r="30" spans="1:3">
      <c r="A30" s="150" t="s">
        <v>88</v>
      </c>
      <c r="B30" s="1">
        <f>ROUND(资产表!B12-预付账款账龄明细!E6,2)</f>
        <v>0</v>
      </c>
      <c r="C30" s="1">
        <f>ROUND(资产表!C12-预付账款账龄明细!I6,2)</f>
        <v>0</v>
      </c>
    </row>
    <row r="31" spans="1:3">
      <c r="A31" s="150" t="s">
        <v>1541</v>
      </c>
    </row>
    <row r="32" spans="1:3">
      <c r="A32" s="150" t="s">
        <v>1542</v>
      </c>
    </row>
    <row r="33" spans="1:3">
      <c r="A33" s="150" t="s">
        <v>1543</v>
      </c>
    </row>
    <row r="34" spans="1:3">
      <c r="A34" s="150" t="s">
        <v>858</v>
      </c>
      <c r="B34" s="1">
        <f>ROUND(资产表!B16-其他应收款!B5,2)</f>
        <v>0</v>
      </c>
      <c r="C34" s="1">
        <f>ROUND(资产表!C16-其他应收款!C5,2)</f>
        <v>0</v>
      </c>
    </row>
    <row r="35" spans="1:3">
      <c r="A35" s="150" t="s">
        <v>4848</v>
      </c>
      <c r="B35" s="1">
        <f>其他应收款按性质分类情况!B34-其他应收款账龄情况!B8</f>
        <v>0</v>
      </c>
    </row>
    <row r="36" spans="1:3">
      <c r="A36" s="150" t="s">
        <v>4849</v>
      </c>
      <c r="B36" s="1">
        <f>其他应收款坏账准备变动情况!E13-坏账准备的情况!G4</f>
        <v>0</v>
      </c>
      <c r="C36" s="1">
        <f>其他应收款坏账准备变动情况!E2-坏账准备的情况!B4</f>
        <v>0</v>
      </c>
    </row>
    <row r="37" spans="1:3">
      <c r="A37" s="150" t="s">
        <v>1544</v>
      </c>
    </row>
    <row r="38" spans="1:3">
      <c r="A38" s="150" t="s">
        <v>78</v>
      </c>
      <c r="B38" s="1">
        <f>ROUND(资产表!B19-存货明细情况!D12,2)</f>
        <v>0</v>
      </c>
      <c r="C38" s="1">
        <f>ROUND(资产表!C19-存货明细情况!G12,2)</f>
        <v>0</v>
      </c>
    </row>
    <row r="39" spans="1:3">
      <c r="A39" s="150" t="s">
        <v>1545</v>
      </c>
      <c r="B39" s="1">
        <f>ROUND(资产表!B22-合同资产情况!D4,2)</f>
        <v>0</v>
      </c>
      <c r="C39" s="1">
        <f>ROUND(资产表!C22-合同资产情况!G4,2)</f>
        <v>0</v>
      </c>
    </row>
    <row r="40" spans="1:3">
      <c r="A40" s="150" t="s">
        <v>913</v>
      </c>
      <c r="B40" s="1">
        <f>ROUND(资产表!B23-持有待售资产的基本情况!D15,2)</f>
        <v>0</v>
      </c>
    </row>
    <row r="41" spans="1:3">
      <c r="A41" s="150" t="s">
        <v>915</v>
      </c>
      <c r="B41" s="1">
        <f>ROUND(资产表!B24-一年内到期的非流动资产!B8,2)</f>
        <v>0</v>
      </c>
      <c r="C41" s="1">
        <f>ROUND(资产表!C24-一年内到期的非流动资产!C8,2)</f>
        <v>0</v>
      </c>
    </row>
    <row r="42" spans="1:3">
      <c r="A42" s="150" t="s">
        <v>79</v>
      </c>
      <c r="B42" s="1">
        <f>ROUND(资产表!B25-其他流动资产!B9,2)</f>
        <v>0</v>
      </c>
      <c r="C42" s="1">
        <f>ROUND(资产表!C25-其他流动资产!C9,2)</f>
        <v>0</v>
      </c>
    </row>
    <row r="43" spans="1:3">
      <c r="A43" s="150" t="s">
        <v>1868</v>
      </c>
    </row>
    <row r="44" spans="1:3">
      <c r="A44" s="150" t="s">
        <v>1869</v>
      </c>
      <c r="B44" s="1">
        <f>ROUND(资产表!B29-债权投资!D4,2)</f>
        <v>0</v>
      </c>
      <c r="C44" s="1">
        <f>ROUND(资产表!C29-债权投资!G4,2)</f>
        <v>0</v>
      </c>
    </row>
    <row r="45" spans="1:3">
      <c r="A45" s="150" t="s">
        <v>14</v>
      </c>
      <c r="B45" s="1">
        <f>ROUND(资产表!B30-可供出售金融资产情况!D7,2)</f>
        <v>0</v>
      </c>
      <c r="C45" s="1">
        <f>ROUND(资产表!C30-可供出售金融资产情况!G7,2)</f>
        <v>0</v>
      </c>
    </row>
    <row r="46" spans="1:3">
      <c r="A46" s="150" t="s">
        <v>1870</v>
      </c>
      <c r="B46" s="1">
        <f>ROUND(资产表!B31-(其他债权投资期末数!F6-其他债权投资期末数!G6),2)</f>
        <v>0</v>
      </c>
      <c r="C46" s="1">
        <f>ROUND(资产表!C31-(其他债权投资期初数!F6-其他债权投资期初数!G6),2)</f>
        <v>0</v>
      </c>
    </row>
    <row r="47" spans="1:3">
      <c r="A47" s="150" t="s">
        <v>11</v>
      </c>
      <c r="B47" s="1">
        <f>ROUND(资产表!B32-持有至到期投资明细情况!D4,2)</f>
        <v>0</v>
      </c>
      <c r="C47" s="1">
        <f>ROUND(资产表!C32-持有至到期投资明细情况!G4,2)</f>
        <v>0</v>
      </c>
    </row>
    <row r="48" spans="1:3">
      <c r="A48" s="150" t="s">
        <v>20</v>
      </c>
      <c r="B48" s="1">
        <f>ROUND(资产表!B33-长期应收款明细情况!D7,2)</f>
        <v>0</v>
      </c>
      <c r="C48" s="1">
        <f>ROUND(资产表!C33-长期应收款明细情况!G7,2)</f>
        <v>0</v>
      </c>
    </row>
    <row r="49" spans="1:3">
      <c r="A49" s="150" t="s">
        <v>743</v>
      </c>
      <c r="B49" s="1">
        <f>ROUND(资产表!B34-长期股权投资分类情况!E7,2)</f>
        <v>0</v>
      </c>
      <c r="C49" s="1">
        <f>ROUND(资产表!C34-长期股权投资分类情况!B7,2)</f>
        <v>0</v>
      </c>
    </row>
    <row r="50" spans="1:3">
      <c r="A50" s="150" t="s">
        <v>1871</v>
      </c>
      <c r="B50" s="1">
        <f>ROUND(资产表!B35-其他权益工具投资明细!B4,2)</f>
        <v>0</v>
      </c>
      <c r="C50" s="1">
        <f>ROUND(资产表!C35-其他权益工具投资明细!C4,2)</f>
        <v>0</v>
      </c>
    </row>
    <row r="51" spans="1:3">
      <c r="A51" s="150" t="s">
        <v>1872</v>
      </c>
      <c r="B51" s="1">
        <f>ROUND(资产表!B36-其他非流动金融资产!B12,2)</f>
        <v>0</v>
      </c>
      <c r="C51" s="1">
        <f>ROUND(资产表!C36-其他非流动金融资产!C12,2)</f>
        <v>0</v>
      </c>
    </row>
    <row r="52" spans="1:3">
      <c r="A52" s="150" t="s">
        <v>4797</v>
      </c>
      <c r="B52" s="1">
        <f>ROUND(资产表!B37-采用成本计量模式的投资性房地产上市公司!D32,2)</f>
        <v>0</v>
      </c>
      <c r="C52" s="1">
        <f>ROUND(资产表!C37-采用成本计量模式的投资性房地产上市公司!D33,2)</f>
        <v>0</v>
      </c>
    </row>
    <row r="53" spans="1:3">
      <c r="A53" s="150" t="s">
        <v>4796</v>
      </c>
      <c r="B53" s="1">
        <f>ROUND(资产表!B37-采用公允价值计量模式的投资性房地产!D10,2)</f>
        <v>0</v>
      </c>
      <c r="C53" s="1">
        <f>ROUND(资产表!C37-采用公允价值计量模式的投资性房地产!D2,2)</f>
        <v>0</v>
      </c>
    </row>
    <row r="54" spans="1:3">
      <c r="A54" s="150" t="s">
        <v>89</v>
      </c>
      <c r="B54" s="1">
        <f>ROUND(资产表!B38-固定资产汇总!B4,2)</f>
        <v>0</v>
      </c>
      <c r="C54" s="1">
        <f>ROUND(资产表!C38-固定资产汇总!C4,2)</f>
        <v>0</v>
      </c>
    </row>
    <row r="55" spans="1:3">
      <c r="A55" s="150" t="s">
        <v>423</v>
      </c>
      <c r="B55" s="1">
        <f>ROUND(资产表!B42-在建工程汇总!B4,2)</f>
        <v>0</v>
      </c>
      <c r="C55" s="1">
        <f>ROUND(资产表!C42-在建工程汇总!C4,2)</f>
        <v>0</v>
      </c>
    </row>
    <row r="56" spans="1:3">
      <c r="A56" s="150" t="s">
        <v>970</v>
      </c>
      <c r="B56" s="1">
        <f>ROUND(资产表!B43-生产性生物资产!F31,2)</f>
        <v>0</v>
      </c>
      <c r="C56" s="1">
        <f>ROUND(资产表!C43-生产性生物资产!F32,2)</f>
        <v>0</v>
      </c>
    </row>
    <row r="57" spans="1:3">
      <c r="A57" s="150" t="s">
        <v>972</v>
      </c>
      <c r="B57" s="1">
        <f>ROUND(资产表!B44-油气资产!E31,2)</f>
        <v>0</v>
      </c>
      <c r="C57" s="1">
        <f>ROUND(资产表!C44-油气资产!E32,2)</f>
        <v>0</v>
      </c>
    </row>
    <row r="58" spans="1:3">
      <c r="A58" s="150" t="s">
        <v>1873</v>
      </c>
      <c r="B58" s="1">
        <f>ROUND(资产表!B45-使用权资产!E31,2)</f>
        <v>0</v>
      </c>
      <c r="C58" s="1">
        <f>ROUND(资产表!C45-使用权资产!E32,2)</f>
        <v>0</v>
      </c>
    </row>
    <row r="59" spans="1:3">
      <c r="A59" s="150" t="s">
        <v>4795</v>
      </c>
      <c r="B59" s="1">
        <f>ROUND(资产表!B46-无形资产!F34,2)</f>
        <v>0</v>
      </c>
      <c r="C59" s="1">
        <f>ROUND(资产表!C46-无形资产!F35,2)</f>
        <v>0</v>
      </c>
    </row>
    <row r="60" spans="1:3" hidden="1">
      <c r="A60" s="150" t="s">
        <v>4576</v>
      </c>
    </row>
    <row r="61" spans="1:3">
      <c r="A61" s="150" t="s">
        <v>991</v>
      </c>
      <c r="B61" s="1">
        <f>ROUND(资产表!B47-开发支出!H6,2)</f>
        <v>0</v>
      </c>
      <c r="C61" s="1">
        <f>ROUND(资产表!C47-开发支出!B6,2)</f>
        <v>0</v>
      </c>
    </row>
    <row r="62" spans="1:3">
      <c r="A62" s="150" t="s">
        <v>994</v>
      </c>
      <c r="B62" s="1">
        <f>ROUND(资产表!B48-商誉账面价值!E4,2)</f>
        <v>0</v>
      </c>
      <c r="C62" s="1">
        <f>ROUND(资产表!C48-商誉账面价值!B4,2)</f>
        <v>0</v>
      </c>
    </row>
    <row r="63" spans="1:3">
      <c r="A63" s="150" t="s">
        <v>750</v>
      </c>
      <c r="B63" s="1">
        <f>ROUND(资产表!B49-长期待摊费用!F10,2)</f>
        <v>0</v>
      </c>
      <c r="C63" s="1">
        <f>ROUND(资产表!C49-长期待摊费用!B10,2)</f>
        <v>0</v>
      </c>
    </row>
    <row r="64" spans="1:3">
      <c r="A64" s="150" t="s">
        <v>751</v>
      </c>
      <c r="B64" s="1">
        <f>ROUND(资产表!B50-未经抵销的递延所得税资产!C53,2)</f>
        <v>0</v>
      </c>
      <c r="C64" s="1">
        <f>ROUND(资产表!C50-未经抵销的递延所得税资产!E53,2)</f>
        <v>0</v>
      </c>
    </row>
    <row r="65" spans="1:3">
      <c r="A65" s="150" t="s">
        <v>80</v>
      </c>
      <c r="B65" s="1">
        <f>ROUND(资产表!B51-其他非流动资产!B8,2)</f>
        <v>0</v>
      </c>
      <c r="C65" s="1">
        <f>ROUND(资产表!C51-其他非流动资产!C8,2)</f>
        <v>0</v>
      </c>
    </row>
    <row r="66" spans="1:3">
      <c r="A66" s="150" t="s">
        <v>735</v>
      </c>
      <c r="B66" s="1">
        <f>ROUND(负债表!B3-短期借款明细情况!B7,2)</f>
        <v>0</v>
      </c>
      <c r="C66" s="1">
        <f>ROUND(负债表!C3-短期借款明细情况!C7,2)</f>
        <v>0</v>
      </c>
    </row>
    <row r="67" spans="1:3">
      <c r="A67" s="150" t="s">
        <v>1875</v>
      </c>
    </row>
    <row r="68" spans="1:3">
      <c r="A68" s="150" t="s">
        <v>1876</v>
      </c>
    </row>
    <row r="69" spans="1:3">
      <c r="A69" s="150" t="s">
        <v>1877</v>
      </c>
      <c r="B69" s="1">
        <f>ROUND(负债表!B6-交易性金融负债!B10,2)</f>
        <v>0</v>
      </c>
      <c r="C69" s="1">
        <f>ROUND(负债表!C6-交易性金融负债!C10,2)</f>
        <v>0</v>
      </c>
    </row>
    <row r="70" spans="1:3">
      <c r="A70" s="150" t="s">
        <v>1013</v>
      </c>
      <c r="B70" s="1">
        <f>ROUND(负债表!B7-以公允价值计量且其变动计入当期损益的金融负债!B8,2)</f>
        <v>0</v>
      </c>
      <c r="C70" s="1">
        <f>ROUND(负债表!C7-以公允价值计量且其变动计入当期损益的金融负债!C8,2)</f>
        <v>0</v>
      </c>
    </row>
    <row r="71" spans="1:3">
      <c r="A71" s="150" t="s">
        <v>1015</v>
      </c>
      <c r="B71" s="1">
        <f>ROUND(负债表!B8-衍生金融负债!B6,2)</f>
        <v>0</v>
      </c>
      <c r="C71" s="1">
        <f>ROUND(负债表!C8-衍生金融负债!C6,2)</f>
        <v>0</v>
      </c>
    </row>
    <row r="72" spans="1:3">
      <c r="A72" s="18" t="s">
        <v>752</v>
      </c>
      <c r="B72" s="1">
        <f>ROUND(负债表!B9-应付票据!B4,2)</f>
        <v>0</v>
      </c>
      <c r="C72" s="1">
        <f>ROUND(负债表!C9-应付票据!C4,2)</f>
        <v>0</v>
      </c>
    </row>
    <row r="73" spans="1:3">
      <c r="A73" s="18" t="s">
        <v>93</v>
      </c>
      <c r="B73" s="1">
        <f>ROUND(负债表!B10-应付账款!B6,2)</f>
        <v>0</v>
      </c>
      <c r="C73" s="1">
        <f>ROUND(负债表!C10-应付账款!C6,2)</f>
        <v>0</v>
      </c>
    </row>
    <row r="74" spans="1:3">
      <c r="A74" s="18" t="s">
        <v>1878</v>
      </c>
      <c r="B74" s="1">
        <f>ROUND(负债表!B11-预收款项!B4,2)</f>
        <v>0</v>
      </c>
      <c r="C74" s="1">
        <f>ROUND(负债表!C11-预收款项!C4,2)</f>
        <v>0</v>
      </c>
    </row>
    <row r="75" spans="1:3">
      <c r="A75" s="150" t="s">
        <v>4596</v>
      </c>
      <c r="B75" s="1">
        <f>ROUND(负债表!B11-预收款项账龄表!B6,2)</f>
        <v>0</v>
      </c>
      <c r="C75" s="1">
        <f>ROUND(负债表!C11-预收款项账龄表!C6,2)</f>
        <v>0</v>
      </c>
    </row>
    <row r="76" spans="1:3">
      <c r="A76" s="18" t="s">
        <v>1879</v>
      </c>
      <c r="B76" s="1">
        <f>ROUND(负债表!B12-合同负债!B4,2)</f>
        <v>0</v>
      </c>
      <c r="C76" s="1">
        <f>ROUND(负债表!C12-合同负债!C4,2)</f>
        <v>0</v>
      </c>
    </row>
    <row r="77" spans="1:3">
      <c r="A77" s="18" t="s">
        <v>1880</v>
      </c>
    </row>
    <row r="78" spans="1:3">
      <c r="A78" s="18" t="s">
        <v>1881</v>
      </c>
    </row>
    <row r="79" spans="1:3">
      <c r="A79" s="18" t="s">
        <v>1882</v>
      </c>
    </row>
    <row r="80" spans="1:3">
      <c r="A80" s="18" t="s">
        <v>1883</v>
      </c>
    </row>
    <row r="81" spans="1:3">
      <c r="A81" s="18" t="s">
        <v>753</v>
      </c>
      <c r="B81" s="1">
        <f>ROUND(负债表!B17-应付职工薪酬明细情况!E7,2)</f>
        <v>0</v>
      </c>
      <c r="C81" s="1">
        <f>ROUND(负债表!C17-应付职工薪酬明细情况!B7,2)</f>
        <v>0</v>
      </c>
    </row>
    <row r="82" spans="1:3">
      <c r="A82" s="18" t="s">
        <v>1884</v>
      </c>
    </row>
    <row r="83" spans="1:3">
      <c r="A83" s="18" t="s">
        <v>1885</v>
      </c>
    </row>
    <row r="84" spans="1:3">
      <c r="A84" s="18" t="s">
        <v>1886</v>
      </c>
    </row>
    <row r="85" spans="1:3">
      <c r="A85" s="18" t="s">
        <v>754</v>
      </c>
      <c r="B85" s="1">
        <f>ROUND(负债表!B21-应交税费!E17,2)</f>
        <v>0</v>
      </c>
      <c r="C85" s="1">
        <f>ROUND(负债表!C21-应交税费!B17,2)</f>
        <v>0</v>
      </c>
    </row>
    <row r="86" spans="1:3">
      <c r="A86" s="18" t="s">
        <v>1887</v>
      </c>
    </row>
    <row r="87" spans="1:3">
      <c r="A87" s="18" t="s">
        <v>528</v>
      </c>
      <c r="B87" s="1">
        <f>ROUND(负债表!B23-其他应付款汇总!B5,2)</f>
        <v>0</v>
      </c>
      <c r="C87" s="1">
        <f>ROUND(负债表!C23-其他应付款汇总!C5,2)</f>
        <v>0</v>
      </c>
    </row>
    <row r="88" spans="1:3">
      <c r="A88" s="18" t="s">
        <v>1888</v>
      </c>
    </row>
    <row r="89" spans="1:3">
      <c r="A89" s="18" t="s">
        <v>1889</v>
      </c>
    </row>
    <row r="90" spans="1:3">
      <c r="A90" s="18" t="s">
        <v>1045</v>
      </c>
      <c r="B90" s="1">
        <f>ROUND(负债表!B27-持有待售负债!B5,2)</f>
        <v>0</v>
      </c>
      <c r="C90" s="1">
        <f>ROUND(负债表!C27-持有待售负债!C5,2)</f>
        <v>0</v>
      </c>
    </row>
    <row r="91" spans="1:3">
      <c r="A91" s="18" t="s">
        <v>1047</v>
      </c>
      <c r="B91" s="1">
        <f>ROUND(负债表!B28-一年内到期的非流动负债!B6,2)</f>
        <v>0</v>
      </c>
      <c r="C91" s="1">
        <f>ROUND(负债表!C28-一年内到期的非流动负债!C6,2)</f>
        <v>0</v>
      </c>
    </row>
    <row r="92" spans="1:3">
      <c r="A92" s="18" t="s">
        <v>1049</v>
      </c>
      <c r="B92" s="1">
        <f>ROUND(负债表!B29-其他流动负债!B6,2)</f>
        <v>0</v>
      </c>
      <c r="C92" s="1">
        <f>ROUND(负债表!C29-其他流动负债!C6,2)</f>
        <v>0</v>
      </c>
    </row>
    <row r="93" spans="1:3" ht="14.4">
      <c r="A93" s="93" t="s">
        <v>1894</v>
      </c>
    </row>
    <row r="94" spans="1:3" ht="14.4">
      <c r="A94" s="91" t="s">
        <v>736</v>
      </c>
      <c r="B94" s="1">
        <f>ROUND(负债表!B33-长期借款!B7,2)</f>
        <v>0</v>
      </c>
      <c r="C94" s="1">
        <f>ROUND(负债表!C33-长期借款!C7,2)</f>
        <v>0</v>
      </c>
    </row>
    <row r="95" spans="1:3" ht="14.4">
      <c r="A95" s="91" t="s">
        <v>756</v>
      </c>
      <c r="B95" s="1">
        <f>ROUND(负债表!B34-应付债券!B7,2)</f>
        <v>0</v>
      </c>
      <c r="C95" s="1">
        <f>ROUND(负债表!C34-应付债券!C7,2)</f>
        <v>0</v>
      </c>
    </row>
    <row r="96" spans="1:3" ht="14.4">
      <c r="A96" s="94" t="s">
        <v>1895</v>
      </c>
    </row>
    <row r="97" spans="1:3" ht="14.4">
      <c r="A97" s="94" t="s">
        <v>1060</v>
      </c>
    </row>
    <row r="98" spans="1:3" ht="14.4">
      <c r="A98" s="99" t="s">
        <v>1896</v>
      </c>
      <c r="B98" s="1">
        <f>ROUND(负债表!B37-租赁负债!B5,2)</f>
        <v>0</v>
      </c>
      <c r="C98" s="1">
        <f>ROUND(负债表!C37-租赁负债!C5,2)</f>
        <v>0</v>
      </c>
    </row>
    <row r="99" spans="1:3" ht="14.4">
      <c r="A99" s="91" t="s">
        <v>94</v>
      </c>
      <c r="B99" s="1">
        <f>ROUND(负债表!B38-长期应付款汇总!B4,2)</f>
        <v>0</v>
      </c>
      <c r="C99" s="1">
        <f>ROUND(负债表!C38-长期应付款汇总!C4,2)</f>
        <v>0</v>
      </c>
    </row>
    <row r="100" spans="1:3" ht="14.4">
      <c r="A100" s="95" t="s">
        <v>1072</v>
      </c>
      <c r="B100" s="1">
        <f>ROUND(负债表!B39-长期应付职工薪酬明细情况!B5,2)</f>
        <v>0</v>
      </c>
      <c r="C100" s="1">
        <f>ROUND(负债表!C39-长期应付职工薪酬明细情况!C5,2)</f>
        <v>0</v>
      </c>
    </row>
    <row r="101" spans="1:3" ht="14.4">
      <c r="A101" s="94" t="s">
        <v>1074</v>
      </c>
      <c r="B101" s="1">
        <f>ROUND(负债表!B40-预计负债!B8,2)</f>
        <v>0</v>
      </c>
      <c r="C101" s="1">
        <f>ROUND(负债表!C40-预计负债!C8,2)</f>
        <v>0</v>
      </c>
    </row>
    <row r="102" spans="1:3" ht="14.4">
      <c r="A102" s="91" t="s">
        <v>755</v>
      </c>
      <c r="B102" s="1">
        <f>ROUND(负债表!B41-递延收益!E5,2)</f>
        <v>0</v>
      </c>
      <c r="C102" s="1">
        <f>ROUND(负债表!C41-递延收益!B5,2)</f>
        <v>0</v>
      </c>
    </row>
    <row r="103" spans="1:3" ht="14.4">
      <c r="A103" s="91" t="s">
        <v>757</v>
      </c>
      <c r="B103" s="1">
        <f>ROUND(负债表!B42-未经抵销的递延所得税负债!C25,2)</f>
        <v>0</v>
      </c>
      <c r="C103" s="1">
        <f>ROUND(负债表!C42-未经抵销的递延所得税负债!E25,2)</f>
        <v>0</v>
      </c>
    </row>
    <row r="104" spans="1:3" ht="14.4">
      <c r="A104" s="91" t="s">
        <v>84</v>
      </c>
      <c r="B104" s="1">
        <f>ROUND(负债表!B43-其他非流动负债!B5,2)</f>
        <v>0</v>
      </c>
      <c r="C104" s="1">
        <f>ROUND(负债表!C43-其他非流动负债!C5,2)</f>
        <v>0</v>
      </c>
    </row>
    <row r="105" spans="1:3" ht="14.4">
      <c r="A105" s="95" t="s">
        <v>1897</v>
      </c>
    </row>
    <row r="106" spans="1:3">
      <c r="A106" s="18" t="s">
        <v>1898</v>
      </c>
    </row>
    <row r="107" spans="1:3">
      <c r="A107" s="18" t="s">
        <v>1899</v>
      </c>
    </row>
    <row r="108" spans="1:3">
      <c r="A108" s="18" t="s">
        <v>1900</v>
      </c>
    </row>
    <row r="109" spans="1:3">
      <c r="A109" s="18" t="s">
        <v>1901</v>
      </c>
    </row>
    <row r="110" spans="1:3">
      <c r="A110" s="18" t="s">
        <v>1902</v>
      </c>
    </row>
    <row r="111" spans="1:3">
      <c r="A111" s="18" t="s">
        <v>1903</v>
      </c>
    </row>
    <row r="112" spans="1:3">
      <c r="A112" s="18" t="s">
        <v>1904</v>
      </c>
    </row>
    <row r="113" spans="1:3">
      <c r="A113" s="18" t="s">
        <v>1915</v>
      </c>
      <c r="B113" s="1">
        <f>ROUND(负债表!B55-实收资本!F6,2)</f>
        <v>0</v>
      </c>
      <c r="C113" s="1">
        <f>ROUND(负债表!C55-实收资本!B6,2)</f>
        <v>0</v>
      </c>
    </row>
    <row r="114" spans="1:3">
      <c r="A114" s="18" t="s">
        <v>1916</v>
      </c>
      <c r="B114" s="1">
        <f>ROUND(负债表!B55-股本!H2,2)</f>
        <v>0</v>
      </c>
      <c r="C114" s="1">
        <f>ROUND(负债表!C55-股本!B2,2)</f>
        <v>0</v>
      </c>
    </row>
    <row r="115" spans="1:3">
      <c r="A115" s="18" t="s">
        <v>1084</v>
      </c>
      <c r="B115" s="1">
        <f>ROUND(负债表!B56-其他权益工具!I4,2)</f>
        <v>0</v>
      </c>
      <c r="C115" s="1">
        <f>ROUND(负债表!C56-其他权益工具!C4,2)</f>
        <v>0</v>
      </c>
    </row>
    <row r="116" spans="1:3">
      <c r="A116" s="18" t="s">
        <v>1895</v>
      </c>
    </row>
    <row r="117" spans="1:3">
      <c r="A117" s="18" t="s">
        <v>1060</v>
      </c>
    </row>
    <row r="118" spans="1:3">
      <c r="A118" s="18" t="s">
        <v>759</v>
      </c>
      <c r="B118" s="1">
        <f>ROUND(负债表!B59-资本公积!E4,2)</f>
        <v>0</v>
      </c>
      <c r="C118" s="1">
        <f>ROUND(负债表!C59-资本公积!B4,2)</f>
        <v>0</v>
      </c>
    </row>
    <row r="119" spans="1:3">
      <c r="A119" s="18" t="s">
        <v>1905</v>
      </c>
    </row>
    <row r="120" spans="1:3">
      <c r="A120" s="18" t="s">
        <v>760</v>
      </c>
      <c r="B120" s="1">
        <f>ROUND(负债表!B61-其他综合收益!I14,2)</f>
        <v>0</v>
      </c>
      <c r="C120" s="1">
        <f>ROUND(负债表!C61-其他综合收益!B14,2)</f>
        <v>0</v>
      </c>
    </row>
    <row r="121" spans="1:3">
      <c r="A121" s="18" t="s">
        <v>1906</v>
      </c>
    </row>
    <row r="122" spans="1:3">
      <c r="A122" s="247" t="s">
        <v>1093</v>
      </c>
      <c r="B122" s="1">
        <f>ROUND(负债表!B63-专项储备!E3,2)</f>
        <v>0</v>
      </c>
      <c r="C122" s="1">
        <f>ROUND(负债表!C63-专项储备!B3,2)</f>
        <v>0</v>
      </c>
    </row>
    <row r="123" spans="1:3">
      <c r="A123" s="150" t="s">
        <v>70</v>
      </c>
      <c r="B123" s="1">
        <f>ROUND(负债表!B64-盈余公积!E7,2)</f>
        <v>0</v>
      </c>
      <c r="C123" s="1">
        <f>ROUND(负债表!C64-盈余公积!B7,2)</f>
        <v>0</v>
      </c>
    </row>
    <row r="124" spans="1:3">
      <c r="A124" s="18" t="s">
        <v>1907</v>
      </c>
    </row>
    <row r="125" spans="1:3">
      <c r="A125" s="18" t="s">
        <v>1908</v>
      </c>
    </row>
    <row r="126" spans="1:3">
      <c r="A126" s="18" t="s">
        <v>1909</v>
      </c>
    </row>
    <row r="127" spans="1:3">
      <c r="A127" s="18" t="s">
        <v>1910</v>
      </c>
    </row>
    <row r="128" spans="1:3">
      <c r="A128" s="18" t="s">
        <v>1911</v>
      </c>
    </row>
    <row r="129" spans="1:4">
      <c r="A129" s="18" t="s">
        <v>1912</v>
      </c>
    </row>
    <row r="130" spans="1:4">
      <c r="A130" s="18" t="s">
        <v>72</v>
      </c>
      <c r="B130" s="1">
        <f>ROUND(负债表!B71-未分配利润!B11,2)</f>
        <v>0</v>
      </c>
      <c r="C130" s="1">
        <f>ROUND(负债表!C71-未分配利润!C11,2)</f>
        <v>0</v>
      </c>
    </row>
    <row r="131" spans="1:4">
      <c r="A131" s="18" t="s">
        <v>1408</v>
      </c>
    </row>
    <row r="132" spans="1:4">
      <c r="A132" s="18" t="s">
        <v>1913</v>
      </c>
    </row>
    <row r="133" spans="1:4">
      <c r="A133" s="18" t="s">
        <v>1411</v>
      </c>
    </row>
    <row r="134" spans="1:4">
      <c r="A134" s="18" t="s">
        <v>1412</v>
      </c>
      <c r="B134" s="1">
        <f>ROUND(利润表!B3-营业收入与营业成本!B4,2)</f>
        <v>0</v>
      </c>
      <c r="C134" s="1">
        <f>ROUND(利润表!C3-营业收入与营业成本!D4,2)</f>
        <v>0</v>
      </c>
    </row>
    <row r="135" spans="1:4">
      <c r="A135" s="706" t="s">
        <v>4891</v>
      </c>
      <c r="B135" s="707">
        <f>利润表!B3-按收入确认时点分解!F9</f>
        <v>0</v>
      </c>
      <c r="C135" s="707"/>
      <c r="D135" s="18" t="s">
        <v>4893</v>
      </c>
    </row>
    <row r="136" spans="1:4">
      <c r="A136" s="18" t="s">
        <v>1413</v>
      </c>
    </row>
    <row r="137" spans="1:4">
      <c r="A137" s="18" t="s">
        <v>1414</v>
      </c>
    </row>
    <row r="138" spans="1:4">
      <c r="A138" s="18" t="s">
        <v>1415</v>
      </c>
    </row>
    <row r="139" spans="1:4">
      <c r="A139" s="18" t="s">
        <v>1416</v>
      </c>
    </row>
    <row r="140" spans="1:4">
      <c r="A140" s="18" t="s">
        <v>1417</v>
      </c>
      <c r="B140" s="1">
        <f>ROUND(利润表!B8-营业收入与营业成本!C4,2)</f>
        <v>0</v>
      </c>
      <c r="C140" s="1">
        <f>ROUND(利润表!C8-营业收入与营业成本!E4,2)</f>
        <v>0</v>
      </c>
    </row>
    <row r="141" spans="1:4">
      <c r="A141" s="18" t="s">
        <v>1418</v>
      </c>
    </row>
    <row r="142" spans="1:4">
      <c r="A142" s="18" t="s">
        <v>1419</v>
      </c>
    </row>
    <row r="143" spans="1:4">
      <c r="A143" s="18" t="s">
        <v>1420</v>
      </c>
    </row>
    <row r="144" spans="1:4">
      <c r="A144" s="18" t="s">
        <v>1421</v>
      </c>
    </row>
    <row r="145" spans="1:3">
      <c r="A145" s="18" t="s">
        <v>1422</v>
      </c>
    </row>
    <row r="146" spans="1:3">
      <c r="A146" s="18" t="s">
        <v>1423</v>
      </c>
    </row>
    <row r="147" spans="1:3">
      <c r="A147" s="18" t="s">
        <v>1424</v>
      </c>
    </row>
    <row r="148" spans="1:3">
      <c r="A148" s="18" t="s">
        <v>1425</v>
      </c>
      <c r="B148" s="1">
        <f>ROUND(利润表!B16-税金及附加!B12,2)</f>
        <v>0</v>
      </c>
      <c r="C148" s="1">
        <f>ROUND(利润表!C16-税金及附加!C12,2)</f>
        <v>0</v>
      </c>
    </row>
    <row r="149" spans="1:3">
      <c r="A149" s="18" t="s">
        <v>1426</v>
      </c>
      <c r="B149" s="1">
        <f>ROUND(利润表!B17-销售费用!B21,2)</f>
        <v>0</v>
      </c>
      <c r="C149" s="1">
        <f>ROUND(利润表!C17-销售费用!C21,2)</f>
        <v>0</v>
      </c>
    </row>
    <row r="150" spans="1:3">
      <c r="A150" s="18" t="s">
        <v>1427</v>
      </c>
      <c r="B150" s="1">
        <f>ROUND(利润表!B18-管理费用!B28,2)</f>
        <v>0</v>
      </c>
      <c r="C150" s="1">
        <f>ROUND(利润表!C18-管理费用!C28,2)</f>
        <v>0</v>
      </c>
    </row>
    <row r="151" spans="1:3">
      <c r="A151" s="18" t="s">
        <v>1428</v>
      </c>
    </row>
    <row r="152" spans="1:3">
      <c r="A152" s="18" t="s">
        <v>1429</v>
      </c>
      <c r="B152" s="1">
        <f>ROUND(利润表!B20-研发费用!B24,2)</f>
        <v>0</v>
      </c>
      <c r="C152" s="1">
        <f>ROUND(利润表!C20-研发费用!C24,2)</f>
        <v>0</v>
      </c>
    </row>
    <row r="153" spans="1:3">
      <c r="A153" s="18" t="s">
        <v>1430</v>
      </c>
      <c r="B153" s="1">
        <f>ROUND(利润表!B21-财务费用!B10,2)</f>
        <v>0</v>
      </c>
      <c r="C153" s="1">
        <f>ROUND(利润表!C21-财务费用!C10,2)</f>
        <v>0</v>
      </c>
    </row>
    <row r="154" spans="1:3">
      <c r="A154" s="18" t="s">
        <v>1431</v>
      </c>
    </row>
    <row r="155" spans="1:3">
      <c r="A155" s="18" t="s">
        <v>1432</v>
      </c>
    </row>
    <row r="156" spans="1:3">
      <c r="A156" s="18" t="s">
        <v>1433</v>
      </c>
    </row>
    <row r="157" spans="1:3">
      <c r="A157" s="18" t="s">
        <v>1434</v>
      </c>
    </row>
    <row r="158" spans="1:3">
      <c r="A158" s="18" t="s">
        <v>1435</v>
      </c>
      <c r="B158" s="1">
        <f>ROUND(利润表!B26-其他收益!B8,2)</f>
        <v>0</v>
      </c>
      <c r="C158" s="1">
        <f>ROUND(利润表!C26-其他收益!C8,2)</f>
        <v>0</v>
      </c>
    </row>
    <row r="159" spans="1:3">
      <c r="A159" s="18" t="s">
        <v>1436</v>
      </c>
      <c r="B159" s="1">
        <f>ROUND(利润表!B27-投资收益!B12,2)</f>
        <v>0</v>
      </c>
      <c r="C159" s="1">
        <f>ROUND(利润表!C27-投资收益!C12,2)</f>
        <v>0</v>
      </c>
    </row>
    <row r="160" spans="1:3">
      <c r="A160" s="18" t="s">
        <v>1437</v>
      </c>
    </row>
    <row r="161" spans="1:4">
      <c r="A161" s="18" t="s">
        <v>1438</v>
      </c>
    </row>
    <row r="162" spans="1:4">
      <c r="A162" s="18" t="s">
        <v>1439</v>
      </c>
    </row>
    <row r="163" spans="1:4">
      <c r="A163" s="18" t="s">
        <v>1440</v>
      </c>
    </row>
    <row r="164" spans="1:4">
      <c r="A164" s="18" t="s">
        <v>1441</v>
      </c>
      <c r="B164" s="1">
        <f>ROUND(利润表!B32-公允价值变动损益!B9,2)</f>
        <v>0</v>
      </c>
      <c r="C164" s="1">
        <f>ROUND(利润表!C32-公允价值变动损益!C9,2)</f>
        <v>0</v>
      </c>
    </row>
    <row r="165" spans="1:4">
      <c r="A165" s="18" t="s">
        <v>1442</v>
      </c>
      <c r="B165" s="1">
        <f>ROUND(利润表!B33-信用减值损失!B6,2)</f>
        <v>0</v>
      </c>
      <c r="C165" s="1">
        <f>ROUND(利润表!C33-信用减值损失!C6,2)</f>
        <v>0</v>
      </c>
    </row>
    <row r="166" spans="1:4">
      <c r="A166" s="18" t="s">
        <v>1443</v>
      </c>
      <c r="B166" s="1">
        <f>ROUND(利润表!B34-资产减值损失!B17,2)</f>
        <v>0</v>
      </c>
      <c r="C166" s="1">
        <f>ROUND(利润表!C34-资产减值损失!C17,2)</f>
        <v>0</v>
      </c>
    </row>
    <row r="167" spans="1:4">
      <c r="A167" s="18" t="s">
        <v>1444</v>
      </c>
      <c r="B167" s="1">
        <f>ROUND(利润表!B35-资产处置收益!B8,2)</f>
        <v>0</v>
      </c>
      <c r="C167" s="1">
        <f>ROUND(利润表!C35-资产处置收益!C8,2)</f>
        <v>0</v>
      </c>
    </row>
    <row r="168" spans="1:4">
      <c r="A168" s="18" t="s">
        <v>1445</v>
      </c>
    </row>
    <row r="169" spans="1:4">
      <c r="A169" s="18" t="s">
        <v>1446</v>
      </c>
      <c r="B169" s="1">
        <f>ROUND(营业外收入!B6-利润表!B37,2)</f>
        <v>0</v>
      </c>
      <c r="C169" s="1">
        <f>ROUND(营业外收入!C6-利润表!C37,2)</f>
        <v>0</v>
      </c>
    </row>
    <row r="170" spans="1:4">
      <c r="A170" s="706" t="str">
        <f>分类表!C57</f>
        <v>与企业日常活动无关的政府补助</v>
      </c>
      <c r="B170" s="707">
        <f>VLOOKUP(A170,营业外收入!A:D,2,0)-计入当期损益的政府补助明细!B5</f>
        <v>0</v>
      </c>
      <c r="C170" s="707">
        <f>VLOOKUP(A170,营业外收入!A:C,3,0)-计入当期损益的政府补助明细!C5</f>
        <v>0</v>
      </c>
      <c r="D170" s="18" t="s">
        <v>4893</v>
      </c>
    </row>
    <row r="171" spans="1:4">
      <c r="A171" s="18" t="s">
        <v>1448</v>
      </c>
      <c r="B171" s="1">
        <f>ROUND(利润表!B39-营业外支出!B5,2)</f>
        <v>0</v>
      </c>
      <c r="C171" s="1">
        <f>ROUND(利润表!C39-营业外支出!C5,2)</f>
        <v>0</v>
      </c>
    </row>
    <row r="172" spans="1:4">
      <c r="A172" s="18" t="s">
        <v>1449</v>
      </c>
    </row>
    <row r="173" spans="1:4">
      <c r="A173" s="18" t="s">
        <v>1450</v>
      </c>
      <c r="B173" s="1">
        <f>ROUND(利润表!B41-所得税费用!B5,2)</f>
        <v>0</v>
      </c>
      <c r="C173" s="1">
        <f>ROUND(利润表!C41-所得税费用!C5,2)</f>
        <v>0</v>
      </c>
    </row>
    <row r="174" spans="1:4">
      <c r="A174" s="150" t="s">
        <v>4794</v>
      </c>
      <c r="B174" s="1">
        <f>ROUND(所得税费用!B5-会计利润与所得税费用调整过程!B12,2)</f>
        <v>0</v>
      </c>
      <c r="C174" s="1">
        <f>ROUND(所得税费用!C5-会计利润与所得税费用调整过程!C12,2)</f>
        <v>0</v>
      </c>
    </row>
    <row r="175" spans="1:4">
      <c r="A175" s="248" t="s">
        <v>1925</v>
      </c>
      <c r="B175" s="249"/>
      <c r="C175" s="249"/>
    </row>
    <row r="176" spans="1:4">
      <c r="A176" s="150" t="s">
        <v>1874</v>
      </c>
      <c r="B176" s="136">
        <f>ROUND(SUM(现金及现金等价物的构成!B3:B8)-现金及现金等价物的构成!B2,2)</f>
        <v>0</v>
      </c>
      <c r="C176" s="136">
        <f>ROUND(SUM(现金及现金等价物的构成!C3:C8)-现金及现金等价物的构成!C2,2)</f>
        <v>0</v>
      </c>
    </row>
    <row r="177" spans="1:3">
      <c r="A177" s="150" t="s">
        <v>1975</v>
      </c>
      <c r="B177" s="136">
        <f>ROUND(受限制的货币资金!B9-受限货币资金情况!B5,2)</f>
        <v>0</v>
      </c>
      <c r="C177" s="136">
        <f>ROUND(受限制的货币资金!C9-受限货币资金情况!C5,2)</f>
        <v>0</v>
      </c>
    </row>
    <row r="178" spans="1:3">
      <c r="A178" s="150" t="s">
        <v>1927</v>
      </c>
      <c r="B178" s="1">
        <f>ROUND(现金流量表!B25-应付职工薪酬明细情况!D7-(VLOOKUP("个人所得税",应交税费!A:E,2,0)-VLOOKUP("个人所得税",应交税费!A:E,5,0)),2)</f>
        <v>0</v>
      </c>
    </row>
    <row r="179" spans="1:3">
      <c r="A179" s="150" t="s">
        <v>1929</v>
      </c>
      <c r="B179" s="1">
        <f>ROUND(现金流量表!B26-应交税费!D17+VLOOKUP("个人所得税",应交税费!A:E,4,0),2)</f>
        <v>0</v>
      </c>
    </row>
    <row r="180" spans="1:3">
      <c r="A180" s="150" t="s">
        <v>2720</v>
      </c>
      <c r="B180" s="1">
        <f>ROUND(将净利润调节为经营活动现金流量!B22-现金流量表!B29,2)</f>
        <v>0</v>
      </c>
      <c r="C180" s="1">
        <f>ROUND(将净利润调节为经营活动现金流量!C22-现金流量表!C29,2)</f>
        <v>0</v>
      </c>
    </row>
    <row r="181" spans="1:3">
      <c r="A181" s="150"/>
    </row>
    <row r="182" spans="1:3">
      <c r="A182" s="246" t="s">
        <v>4798</v>
      </c>
      <c r="B182" s="138"/>
      <c r="C182" s="138"/>
    </row>
    <row r="183" spans="1:3">
      <c r="A183" s="18" t="s">
        <v>2395</v>
      </c>
    </row>
    <row r="184" spans="1:3">
      <c r="A184" s="18" t="s">
        <v>2396</v>
      </c>
    </row>
    <row r="185" spans="1:3">
      <c r="A185" s="18" t="s">
        <v>2397</v>
      </c>
    </row>
    <row r="186" spans="1:3">
      <c r="A186" s="18" t="s">
        <v>2398</v>
      </c>
    </row>
    <row r="187" spans="1:3">
      <c r="A187" s="18" t="s">
        <v>2399</v>
      </c>
    </row>
    <row r="188" spans="1:3">
      <c r="A188" s="18" t="s">
        <v>296</v>
      </c>
    </row>
    <row r="189" spans="1:3">
      <c r="A189" s="246" t="s">
        <v>4799</v>
      </c>
      <c r="B189" s="138"/>
      <c r="C189" s="138"/>
    </row>
    <row r="190" spans="1:3">
      <c r="A190" s="18" t="s">
        <v>2395</v>
      </c>
    </row>
    <row r="191" spans="1:3">
      <c r="A191" s="18" t="s">
        <v>2396</v>
      </c>
    </row>
    <row r="192" spans="1:3">
      <c r="A192" s="18" t="s">
        <v>2397</v>
      </c>
    </row>
    <row r="193" spans="1:3">
      <c r="A193" s="18" t="s">
        <v>2398</v>
      </c>
    </row>
    <row r="194" spans="1:3">
      <c r="A194" s="18" t="s">
        <v>2399</v>
      </c>
    </row>
    <row r="195" spans="1:3">
      <c r="A195" s="18" t="s">
        <v>296</v>
      </c>
    </row>
    <row r="196" spans="1:3">
      <c r="A196" s="246" t="s">
        <v>2494</v>
      </c>
      <c r="B196" s="138"/>
      <c r="C196" s="138"/>
    </row>
    <row r="197" spans="1:3">
      <c r="A197" s="18" t="s">
        <v>266</v>
      </c>
    </row>
    <row r="198" spans="1:3">
      <c r="A198" s="18" t="s">
        <v>267</v>
      </c>
      <c r="B198" s="1" t="e">
        <f>ROUND(IF(预付账款账龄明细!B3&lt;=预付账款账龄明细!F2,"","错误"),2)</f>
        <v>#VALUE!</v>
      </c>
    </row>
    <row r="199" spans="1:3">
      <c r="A199" s="18" t="s">
        <v>268</v>
      </c>
      <c r="B199" s="1" t="e">
        <f>ROUND(IF(预付账款账龄明细!B4&lt;=预付账款账龄明细!F3,"","错误"),2)</f>
        <v>#VALUE!</v>
      </c>
    </row>
    <row r="200" spans="1:3">
      <c r="A200" s="18" t="s">
        <v>269</v>
      </c>
      <c r="B200" s="1" t="e">
        <f>ROUND(IF(预付账款账龄明细!B5&lt;=预付账款账龄明细!F4,"","错误"),2)</f>
        <v>#VALUE!</v>
      </c>
    </row>
    <row r="201" spans="1:3">
      <c r="A201" s="246" t="s">
        <v>2495</v>
      </c>
      <c r="B201" s="138"/>
      <c r="C201" s="138"/>
    </row>
    <row r="202" spans="1:3">
      <c r="A202" s="18" t="s">
        <v>266</v>
      </c>
    </row>
    <row r="203" spans="1:3">
      <c r="A203" s="18" t="s">
        <v>267</v>
      </c>
      <c r="B203" s="1" t="e">
        <f>ROUND(IF(应付账款!B3&lt;=应付账款!C2,"","错误"),2)</f>
        <v>#VALUE!</v>
      </c>
    </row>
    <row r="204" spans="1:3">
      <c r="A204" s="18" t="s">
        <v>268</v>
      </c>
      <c r="B204" s="1" t="e">
        <f>ROUND(IF(应付账款!B4&lt;=应付账款!C3,"","错误"),2)</f>
        <v>#VALUE!</v>
      </c>
    </row>
    <row r="205" spans="1:3">
      <c r="A205" s="18" t="s">
        <v>269</v>
      </c>
      <c r="B205" s="1" t="e">
        <f>ROUND(IF(应付账款!B5&lt;=应付账款!C4,"","错误"),2)</f>
        <v>#VALUE!</v>
      </c>
    </row>
    <row r="206" spans="1:3">
      <c r="A206" s="246" t="s">
        <v>2496</v>
      </c>
      <c r="B206" s="138"/>
      <c r="C206" s="138"/>
    </row>
    <row r="207" spans="1:3">
      <c r="A207" s="18" t="s">
        <v>266</v>
      </c>
    </row>
    <row r="208" spans="1:3">
      <c r="A208" s="18" t="s">
        <v>267</v>
      </c>
      <c r="B208" s="1" t="e">
        <f>ROUND(IF(预收款项账龄表!B3&lt;=预收款项账龄表!C2,"","错误"),2)</f>
        <v>#VALUE!</v>
      </c>
    </row>
    <row r="209" spans="1:4">
      <c r="A209" s="18" t="s">
        <v>268</v>
      </c>
      <c r="B209" s="1" t="e">
        <f>ROUND(IF(预收款项账龄表!B4&lt;=预收款项账龄表!C3,"","错误"),2)</f>
        <v>#VALUE!</v>
      </c>
    </row>
    <row r="210" spans="1:4">
      <c r="A210" s="18" t="s">
        <v>269</v>
      </c>
      <c r="B210" s="1" t="e">
        <f>ROUND(IF(预收款项账龄表!B5&lt;=预收款项账龄表!C4,"","错误"),2)</f>
        <v>#VALUE!</v>
      </c>
    </row>
    <row r="212" spans="1:4">
      <c r="A212" s="342" t="s">
        <v>2890</v>
      </c>
      <c r="B212" s="343" t="s">
        <v>2891</v>
      </c>
      <c r="C212" s="343" t="s">
        <v>2892</v>
      </c>
      <c r="D212" s="344" t="s">
        <v>2501</v>
      </c>
    </row>
    <row r="213" spans="1:4">
      <c r="A213" s="18" t="s">
        <v>57</v>
      </c>
      <c r="B213" s="1">
        <f>ROUND(本期TB!H13,2)</f>
        <v>0</v>
      </c>
      <c r="C213" s="1">
        <f>ROUND(应收票据分类新金融工具准则!C4,2)</f>
        <v>0</v>
      </c>
      <c r="D213" s="133">
        <f t="shared" ref="D213:D228" si="0">ROUND(B213-C213,2)</f>
        <v>0</v>
      </c>
    </row>
    <row r="214" spans="1:4">
      <c r="A214" s="150" t="s">
        <v>2860</v>
      </c>
      <c r="B214" s="1">
        <f>ROUND(本期TB!H16,2)</f>
        <v>0</v>
      </c>
      <c r="C214" s="1">
        <f>ROUND(应收账款期末数!D4,2)</f>
        <v>0</v>
      </c>
      <c r="D214" s="133">
        <f t="shared" si="0"/>
        <v>0</v>
      </c>
    </row>
    <row r="215" spans="1:4">
      <c r="A215" s="150" t="s">
        <v>59</v>
      </c>
      <c r="B215" s="1">
        <f>ROUND(本期TB!H30,2)</f>
        <v>0</v>
      </c>
      <c r="C215" s="1">
        <f>其他应收款坏账准备变动情况!E13</f>
        <v>0</v>
      </c>
      <c r="D215" s="133">
        <f t="shared" si="0"/>
        <v>0</v>
      </c>
    </row>
    <row r="216" spans="1:4">
      <c r="A216" s="150" t="s">
        <v>61</v>
      </c>
      <c r="B216" s="1">
        <f>ROUND(本期TB!H61,2)</f>
        <v>0</v>
      </c>
      <c r="C216" s="1">
        <f>ROUND(债权投资!C4,2)</f>
        <v>0</v>
      </c>
      <c r="D216" s="133">
        <f t="shared" si="0"/>
        <v>0</v>
      </c>
    </row>
    <row r="217" spans="1:4">
      <c r="A217" s="150" t="s">
        <v>64</v>
      </c>
      <c r="B217" s="1">
        <f>ROUND(本期TB!H65,2)</f>
        <v>0</v>
      </c>
      <c r="C217" s="1">
        <f>ROUND(其他债权投资期末数!G6,2)</f>
        <v>0</v>
      </c>
      <c r="D217" s="133">
        <f t="shared" si="0"/>
        <v>0</v>
      </c>
    </row>
    <row r="218" spans="1:4">
      <c r="A218" s="150" t="s">
        <v>2866</v>
      </c>
      <c r="B218" s="1">
        <f>ROUND(本期TB!H52,2)</f>
        <v>0</v>
      </c>
      <c r="C218" s="1">
        <f>ROUND(合同资产情况!C4,2)</f>
        <v>0</v>
      </c>
      <c r="D218" s="133">
        <f t="shared" si="0"/>
        <v>0</v>
      </c>
    </row>
    <row r="219" spans="1:4">
      <c r="A219" s="18" t="s">
        <v>62</v>
      </c>
      <c r="B219" s="1">
        <f>ROUND(本期TB!H70,2)</f>
        <v>0</v>
      </c>
      <c r="C219" s="1">
        <f>ROUND(长期应收款明细情况!C7,2)</f>
        <v>0</v>
      </c>
      <c r="D219" s="133">
        <f t="shared" si="0"/>
        <v>0</v>
      </c>
    </row>
    <row r="220" spans="1:4">
      <c r="A220" s="18" t="s">
        <v>904</v>
      </c>
      <c r="B220" s="1">
        <f>ROUND(本期TB!H49,2)</f>
        <v>0</v>
      </c>
      <c r="C220" s="1">
        <f>ROUND(存货明细情况!C12,2)</f>
        <v>0</v>
      </c>
      <c r="D220" s="133">
        <f t="shared" si="0"/>
        <v>0</v>
      </c>
    </row>
    <row r="221" spans="1:4">
      <c r="A221" s="18" t="s">
        <v>962</v>
      </c>
      <c r="B221" s="1">
        <f>ROUND(本期TB!H83,2)</f>
        <v>0</v>
      </c>
      <c r="C221" s="1">
        <f>ROUND(固定资产情况!F30,2)</f>
        <v>0</v>
      </c>
      <c r="D221" s="133">
        <f t="shared" si="0"/>
        <v>0</v>
      </c>
    </row>
    <row r="222" spans="1:4">
      <c r="A222" s="18" t="s">
        <v>744</v>
      </c>
      <c r="B222" s="1">
        <f>ROUND(本期TB!H73,2)</f>
        <v>0</v>
      </c>
      <c r="C222" s="1">
        <f>ROUND(长期股权投资分类情况!E6,2)</f>
        <v>0</v>
      </c>
      <c r="D222" s="133">
        <f t="shared" si="0"/>
        <v>0</v>
      </c>
    </row>
    <row r="223" spans="1:4">
      <c r="A223" s="18" t="s">
        <v>1641</v>
      </c>
      <c r="B223" s="1">
        <f>ROUND(本期TB!H79,2)</f>
        <v>0</v>
      </c>
      <c r="C223" s="1">
        <f>ROUND(采用成本计量模式的投资性房地产上市公司!D30,2)</f>
        <v>0</v>
      </c>
      <c r="D223" s="133">
        <f t="shared" si="0"/>
        <v>0</v>
      </c>
    </row>
    <row r="224" spans="1:4">
      <c r="A224" s="18" t="s">
        <v>2342</v>
      </c>
      <c r="B224" s="1">
        <f>ROUND(本期TB!H98,2)</f>
        <v>0</v>
      </c>
      <c r="C224" s="1">
        <f>ROUND(无形资产!F32,2)</f>
        <v>0</v>
      </c>
      <c r="D224" s="133">
        <f t="shared" si="0"/>
        <v>0</v>
      </c>
    </row>
    <row r="225" spans="1:4">
      <c r="A225" s="18" t="s">
        <v>997</v>
      </c>
      <c r="B225" s="1">
        <f>ROUND(本期TB!H102,2)</f>
        <v>0</v>
      </c>
      <c r="C225" s="1">
        <f>ROUND(商誉减值准备!E4,2)</f>
        <v>0</v>
      </c>
      <c r="D225" s="133">
        <f t="shared" si="0"/>
        <v>0</v>
      </c>
    </row>
    <row r="226" spans="1:4">
      <c r="A226" s="150" t="s">
        <v>1634</v>
      </c>
      <c r="B226" s="1">
        <f>本期TB!H82</f>
        <v>0</v>
      </c>
      <c r="C226" s="1">
        <f>固定资产情况!F21</f>
        <v>0</v>
      </c>
      <c r="D226" s="133">
        <f t="shared" si="0"/>
        <v>0</v>
      </c>
    </row>
    <row r="227" spans="1:4">
      <c r="A227" s="150" t="s">
        <v>2542</v>
      </c>
      <c r="B227" s="1">
        <f>本期TB!H97</f>
        <v>0</v>
      </c>
      <c r="C227" s="1">
        <f>无形资产!F23</f>
        <v>0</v>
      </c>
      <c r="D227" s="133">
        <f t="shared" si="0"/>
        <v>0</v>
      </c>
    </row>
    <row r="228" spans="1:4">
      <c r="A228" s="150" t="s">
        <v>1636</v>
      </c>
      <c r="B228" s="1">
        <f>本期TB!H78</f>
        <v>0</v>
      </c>
      <c r="C228" s="1">
        <f>采用成本计量模式的投资性房地产上市公司!D21</f>
        <v>0</v>
      </c>
      <c r="D228" s="133">
        <f t="shared" si="0"/>
        <v>0</v>
      </c>
    </row>
    <row r="229" spans="1:4">
      <c r="D229" s="133"/>
    </row>
    <row r="230" spans="1:4">
      <c r="D230" s="133"/>
    </row>
    <row r="231" spans="1:4">
      <c r="D231" s="133"/>
    </row>
    <row r="232" spans="1:4">
      <c r="A232" s="521"/>
      <c r="B232" s="522"/>
      <c r="C232" s="522"/>
      <c r="D232" s="521"/>
    </row>
    <row r="234" spans="1:4">
      <c r="A234" s="344"/>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DF1D-CC04-48AF-8A18-14CD9DEE4B6E}">
  <sheetPr codeName="Sheet234"/>
  <dimension ref="A1:M14"/>
  <sheetViews>
    <sheetView workbookViewId="0">
      <selection activeCell="J29" sqref="J29"/>
    </sheetView>
  </sheetViews>
  <sheetFormatPr defaultRowHeight="13.8"/>
  <cols>
    <col min="2" max="2" width="16.109375" bestFit="1" customWidth="1"/>
    <col min="4" max="4" width="9.5546875" bestFit="1" customWidth="1"/>
    <col min="6" max="8" width="8.88671875" style="229"/>
    <col min="9" max="9" width="18.33203125" style="229" bestFit="1" customWidth="1"/>
    <col min="10" max="10" width="10.6640625" style="229" bestFit="1" customWidth="1"/>
    <col min="11" max="12" width="8.6640625" style="229" bestFit="1" customWidth="1"/>
    <col min="13" max="13" width="8.88671875" style="229"/>
  </cols>
  <sheetData>
    <row r="1" spans="1:12">
      <c r="A1" t="s">
        <v>2383</v>
      </c>
      <c r="B1" t="s">
        <v>3097</v>
      </c>
      <c r="C1" t="s">
        <v>246</v>
      </c>
      <c r="D1" t="s">
        <v>359</v>
      </c>
      <c r="E1" t="s">
        <v>477</v>
      </c>
      <c r="F1" s="229" t="s">
        <v>245</v>
      </c>
      <c r="G1" s="229" t="s">
        <v>3473</v>
      </c>
      <c r="H1" s="229" t="s">
        <v>2349</v>
      </c>
      <c r="I1" s="229" t="s">
        <v>3576</v>
      </c>
      <c r="J1" s="229" t="s">
        <v>3472</v>
      </c>
      <c r="K1" s="229" t="s">
        <v>200</v>
      </c>
      <c r="L1" s="229" t="s">
        <v>199</v>
      </c>
    </row>
    <row r="2" spans="1:12">
      <c r="A2" t="str">
        <f>IF(OR(C2&gt;0,F2&gt;0),基础信息!$B$1,"")</f>
        <v/>
      </c>
      <c r="B2" s="255"/>
      <c r="C2" s="255"/>
      <c r="D2" s="255"/>
      <c r="E2" s="255"/>
      <c r="F2" s="229">
        <f>C2+D2-E2</f>
        <v>0</v>
      </c>
      <c r="G2" s="288"/>
      <c r="H2" s="288"/>
      <c r="I2" s="288"/>
      <c r="J2" s="229">
        <f>G2+H2-I2</f>
        <v>0</v>
      </c>
      <c r="K2" s="229">
        <f>C2-G2</f>
        <v>0</v>
      </c>
      <c r="L2" s="229">
        <f>F2-J2</f>
        <v>0</v>
      </c>
    </row>
    <row r="3" spans="1:12">
      <c r="A3" t="str">
        <f>IF(OR(C3&gt;0,F3&gt;0),基础信息!$B$1,"")</f>
        <v/>
      </c>
      <c r="B3" s="255"/>
      <c r="C3" s="255"/>
      <c r="D3" s="255"/>
      <c r="E3" s="255"/>
      <c r="F3" s="229">
        <f>C3+D3-E3</f>
        <v>0</v>
      </c>
      <c r="G3" s="288"/>
      <c r="H3" s="288"/>
      <c r="I3" s="288"/>
      <c r="J3" s="229">
        <f>G3+H3-I3</f>
        <v>0</v>
      </c>
      <c r="K3" s="229">
        <f>C3-G3</f>
        <v>0</v>
      </c>
      <c r="L3" s="229">
        <f>F3-J3</f>
        <v>0</v>
      </c>
    </row>
    <row r="4" spans="1:12">
      <c r="A4" t="str">
        <f>IF(OR(C4&gt;0,F4&gt;0),基础信息!$B$1,"")</f>
        <v/>
      </c>
      <c r="B4" s="255"/>
      <c r="C4" s="255"/>
      <c r="D4" s="255"/>
      <c r="E4" s="255"/>
      <c r="F4" s="229">
        <f t="shared" ref="F4:F14" si="0">C4+D4-E4</f>
        <v>0</v>
      </c>
      <c r="G4" s="288"/>
      <c r="H4" s="288"/>
      <c r="I4" s="288"/>
      <c r="J4" s="229">
        <f t="shared" ref="J4:J14" si="1">G4+H4-I4</f>
        <v>0</v>
      </c>
      <c r="K4" s="229">
        <f t="shared" ref="K4:K14" si="2">C4-G4</f>
        <v>0</v>
      </c>
      <c r="L4" s="229">
        <f t="shared" ref="L4:L14" si="3">F4-J4</f>
        <v>0</v>
      </c>
    </row>
    <row r="5" spans="1:12">
      <c r="A5" t="str">
        <f>IF(OR(C5&gt;0,F5&gt;0),基础信息!$B$1,"")</f>
        <v/>
      </c>
      <c r="B5" s="255"/>
      <c r="C5" s="255"/>
      <c r="D5" s="255"/>
      <c r="E5" s="255"/>
      <c r="F5" s="229">
        <f t="shared" si="0"/>
        <v>0</v>
      </c>
      <c r="G5" s="288"/>
      <c r="H5" s="288"/>
      <c r="I5" s="288"/>
      <c r="J5" s="229">
        <f t="shared" si="1"/>
        <v>0</v>
      </c>
      <c r="K5" s="229">
        <f t="shared" si="2"/>
        <v>0</v>
      </c>
      <c r="L5" s="229">
        <f t="shared" si="3"/>
        <v>0</v>
      </c>
    </row>
    <row r="6" spans="1:12">
      <c r="A6" t="str">
        <f>IF(OR(C6&gt;0,F6&gt;0),基础信息!$B$1,"")</f>
        <v/>
      </c>
      <c r="B6" s="255"/>
      <c r="C6" s="255"/>
      <c r="D6" s="255"/>
      <c r="E6" s="255"/>
      <c r="F6" s="229">
        <f t="shared" si="0"/>
        <v>0</v>
      </c>
      <c r="G6" s="288"/>
      <c r="H6" s="288"/>
      <c r="I6" s="288"/>
      <c r="J6" s="229">
        <f t="shared" si="1"/>
        <v>0</v>
      </c>
      <c r="K6" s="229">
        <f t="shared" si="2"/>
        <v>0</v>
      </c>
      <c r="L6" s="229">
        <f t="shared" si="3"/>
        <v>0</v>
      </c>
    </row>
    <row r="7" spans="1:12">
      <c r="A7" t="str">
        <f>IF(OR(C7&gt;0,F7&gt;0),基础信息!$B$1,"")</f>
        <v/>
      </c>
      <c r="B7" s="255"/>
      <c r="C7" s="255"/>
      <c r="D7" s="255"/>
      <c r="E7" s="255"/>
      <c r="F7" s="229">
        <f t="shared" si="0"/>
        <v>0</v>
      </c>
      <c r="G7" s="288"/>
      <c r="H7" s="288"/>
      <c r="I7" s="288"/>
      <c r="J7" s="229">
        <f t="shared" si="1"/>
        <v>0</v>
      </c>
      <c r="K7" s="229">
        <f t="shared" si="2"/>
        <v>0</v>
      </c>
      <c r="L7" s="229">
        <f t="shared" si="3"/>
        <v>0</v>
      </c>
    </row>
    <row r="8" spans="1:12">
      <c r="A8" t="str">
        <f>IF(OR(C8&gt;0,F8&gt;0),基础信息!$B$1,"")</f>
        <v/>
      </c>
      <c r="B8" s="255"/>
      <c r="C8" s="255"/>
      <c r="D8" s="255"/>
      <c r="E8" s="255"/>
      <c r="F8" s="229">
        <f t="shared" si="0"/>
        <v>0</v>
      </c>
      <c r="G8" s="288"/>
      <c r="H8" s="288"/>
      <c r="I8" s="288"/>
      <c r="J8" s="229">
        <f t="shared" si="1"/>
        <v>0</v>
      </c>
      <c r="K8" s="229">
        <f t="shared" si="2"/>
        <v>0</v>
      </c>
      <c r="L8" s="229">
        <f t="shared" si="3"/>
        <v>0</v>
      </c>
    </row>
    <row r="9" spans="1:12">
      <c r="A9" t="str">
        <f>IF(OR(C9&gt;0,F9&gt;0),基础信息!$B$1,"")</f>
        <v/>
      </c>
      <c r="B9" s="255"/>
      <c r="C9" s="255"/>
      <c r="D9" s="255"/>
      <c r="E9" s="255"/>
      <c r="F9" s="229">
        <f t="shared" si="0"/>
        <v>0</v>
      </c>
      <c r="G9" s="288"/>
      <c r="H9" s="288"/>
      <c r="I9" s="288"/>
      <c r="J9" s="229">
        <f t="shared" si="1"/>
        <v>0</v>
      </c>
      <c r="K9" s="229">
        <f t="shared" si="2"/>
        <v>0</v>
      </c>
      <c r="L9" s="229">
        <f t="shared" si="3"/>
        <v>0</v>
      </c>
    </row>
    <row r="10" spans="1:12">
      <c r="A10" t="str">
        <f>IF(OR(C10&gt;0,F10&gt;0),基础信息!$B$1,"")</f>
        <v/>
      </c>
      <c r="B10" s="255"/>
      <c r="C10" s="255"/>
      <c r="D10" s="255"/>
      <c r="E10" s="255"/>
      <c r="F10" s="229">
        <f t="shared" si="0"/>
        <v>0</v>
      </c>
      <c r="G10" s="288"/>
      <c r="H10" s="288"/>
      <c r="I10" s="288"/>
      <c r="J10" s="229">
        <f t="shared" si="1"/>
        <v>0</v>
      </c>
      <c r="K10" s="229">
        <f t="shared" si="2"/>
        <v>0</v>
      </c>
      <c r="L10" s="229">
        <f t="shared" si="3"/>
        <v>0</v>
      </c>
    </row>
    <row r="11" spans="1:12">
      <c r="A11" t="str">
        <f>IF(OR(C11&gt;0,F11&gt;0),基础信息!$B$1,"")</f>
        <v/>
      </c>
      <c r="B11" s="255"/>
      <c r="C11" s="255"/>
      <c r="D11" s="255"/>
      <c r="E11" s="255"/>
      <c r="F11" s="229">
        <f t="shared" si="0"/>
        <v>0</v>
      </c>
      <c r="G11" s="288"/>
      <c r="H11" s="288"/>
      <c r="I11" s="288"/>
      <c r="J11" s="229">
        <f t="shared" si="1"/>
        <v>0</v>
      </c>
      <c r="K11" s="229">
        <f t="shared" si="2"/>
        <v>0</v>
      </c>
      <c r="L11" s="229">
        <f t="shared" si="3"/>
        <v>0</v>
      </c>
    </row>
    <row r="12" spans="1:12">
      <c r="A12" t="str">
        <f>IF(OR(C12&gt;0,F12&gt;0),基础信息!$B$1,"")</f>
        <v/>
      </c>
      <c r="B12" s="255"/>
      <c r="C12" s="255"/>
      <c r="D12" s="255"/>
      <c r="E12" s="255"/>
      <c r="F12" s="229">
        <f t="shared" si="0"/>
        <v>0</v>
      </c>
      <c r="G12" s="288"/>
      <c r="H12" s="288"/>
      <c r="I12" s="288"/>
      <c r="J12" s="229">
        <f t="shared" si="1"/>
        <v>0</v>
      </c>
      <c r="K12" s="229">
        <f t="shared" si="2"/>
        <v>0</v>
      </c>
      <c r="L12" s="229">
        <f t="shared" si="3"/>
        <v>0</v>
      </c>
    </row>
    <row r="13" spans="1:12">
      <c r="A13" t="str">
        <f>IF(OR(C13&gt;0,F13&gt;0),基础信息!$B$1,"")</f>
        <v/>
      </c>
      <c r="B13" s="255"/>
      <c r="C13" s="255"/>
      <c r="D13" s="255"/>
      <c r="E13" s="255"/>
      <c r="F13" s="229">
        <f t="shared" si="0"/>
        <v>0</v>
      </c>
      <c r="G13" s="288"/>
      <c r="H13" s="288"/>
      <c r="I13" s="288"/>
      <c r="J13" s="229">
        <f t="shared" si="1"/>
        <v>0</v>
      </c>
      <c r="K13" s="229">
        <f t="shared" si="2"/>
        <v>0</v>
      </c>
      <c r="L13" s="229">
        <f t="shared" si="3"/>
        <v>0</v>
      </c>
    </row>
    <row r="14" spans="1:12">
      <c r="A14" t="str">
        <f>IF(OR(C14&gt;0,F14&gt;0),基础信息!$B$1,"")</f>
        <v/>
      </c>
      <c r="B14" s="255"/>
      <c r="C14" s="255"/>
      <c r="D14" s="255"/>
      <c r="E14" s="255"/>
      <c r="F14" s="229">
        <f t="shared" si="0"/>
        <v>0</v>
      </c>
      <c r="G14" s="288"/>
      <c r="H14" s="288"/>
      <c r="I14" s="288"/>
      <c r="J14" s="229">
        <f t="shared" si="1"/>
        <v>0</v>
      </c>
      <c r="K14" s="229">
        <f t="shared" si="2"/>
        <v>0</v>
      </c>
      <c r="L14" s="229">
        <f t="shared" si="3"/>
        <v>0</v>
      </c>
    </row>
  </sheetData>
  <phoneticPr fontId="1" type="noConversion"/>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codeName="Sheet235">
    <tabColor rgb="FFFFC000"/>
  </sheetPr>
  <dimension ref="A1:G10"/>
  <sheetViews>
    <sheetView workbookViewId="0">
      <selection activeCell="F9" sqref="F8:F9"/>
    </sheetView>
  </sheetViews>
  <sheetFormatPr defaultRowHeight="13.8"/>
  <cols>
    <col min="1" max="6" width="13.5546875" style="18" customWidth="1"/>
    <col min="7" max="7" width="24.6640625" style="18" customWidth="1"/>
    <col min="8" max="16384" width="8.88671875" style="18"/>
  </cols>
  <sheetData>
    <row r="1" spans="1:7" ht="14.4">
      <c r="A1" s="35" t="s">
        <v>28</v>
      </c>
      <c r="B1" s="35" t="s">
        <v>200</v>
      </c>
      <c r="C1" s="35" t="s">
        <v>342</v>
      </c>
      <c r="D1" s="35" t="s">
        <v>479</v>
      </c>
      <c r="E1" s="35" t="s">
        <v>358</v>
      </c>
      <c r="F1" s="35" t="s">
        <v>199</v>
      </c>
      <c r="G1" s="20" t="s">
        <v>478</v>
      </c>
    </row>
    <row r="2" spans="1:7" ht="14.4">
      <c r="A2" s="629"/>
      <c r="B2" s="292">
        <f>ROUND(SUMIF(长期待摊费用明细表!B:B,,长期待摊费用明细表!G:G),2)</f>
        <v>0</v>
      </c>
      <c r="C2" s="292">
        <f>ROUND(SUMIF(长期待摊费用明细表!B:B,A2,长期待摊费用明细表!H:H),2)</f>
        <v>0</v>
      </c>
      <c r="D2" s="292">
        <f>ROUND(SUMIF(长期待摊费用明细表!B:B,A2,长期待摊费用明细表!I:I),2)</f>
        <v>0</v>
      </c>
      <c r="E2" s="292">
        <f>ROUND(SUMIF(长期待摊费用明细表!B:B,A2,长期待摊费用明细表!J:J),2)</f>
        <v>0</v>
      </c>
      <c r="F2" s="289">
        <f t="shared" ref="F2:F9" si="0">ROUND(B2+C2-D2-E2,2)</f>
        <v>0</v>
      </c>
      <c r="G2" s="562"/>
    </row>
    <row r="3" spans="1:7" ht="14.4">
      <c r="A3" s="629"/>
      <c r="B3" s="292">
        <f>ROUND(SUMIF(长期待摊费用明细表!B:B,,长期待摊费用明细表!G:G),2)</f>
        <v>0</v>
      </c>
      <c r="C3" s="292">
        <f>ROUND(SUMIF(长期待摊费用明细表!B:B,A3,长期待摊费用明细表!H:H),2)</f>
        <v>0</v>
      </c>
      <c r="D3" s="292">
        <f>ROUND(SUMIF(长期待摊费用明细表!B:B,A3,长期待摊费用明细表!I:I),2)</f>
        <v>0</v>
      </c>
      <c r="E3" s="292">
        <f>ROUND(SUMIF(长期待摊费用明细表!B:B,A3,长期待摊费用明细表!J:J),2)</f>
        <v>0</v>
      </c>
      <c r="F3" s="289">
        <f t="shared" si="0"/>
        <v>0</v>
      </c>
      <c r="G3" s="562"/>
    </row>
    <row r="4" spans="1:7" ht="14.4">
      <c r="A4" s="629"/>
      <c r="B4" s="292">
        <f>ROUND(SUMIF(长期待摊费用明细表!B:B,,长期待摊费用明细表!G:G),2)</f>
        <v>0</v>
      </c>
      <c r="C4" s="292">
        <f>ROUND(SUMIF(长期待摊费用明细表!B:B,A4,长期待摊费用明细表!H:H),2)</f>
        <v>0</v>
      </c>
      <c r="D4" s="292">
        <f>ROUND(SUMIF(长期待摊费用明细表!B:B,A4,长期待摊费用明细表!I:I),2)</f>
        <v>0</v>
      </c>
      <c r="E4" s="292">
        <f>ROUND(SUMIF(长期待摊费用明细表!B:B,A4,长期待摊费用明细表!J:J),2)</f>
        <v>0</v>
      </c>
      <c r="F4" s="289">
        <f t="shared" si="0"/>
        <v>0</v>
      </c>
      <c r="G4" s="562"/>
    </row>
    <row r="5" spans="1:7" ht="14.4">
      <c r="A5" s="629"/>
      <c r="B5" s="292">
        <f>ROUND(SUMIF(长期待摊费用明细表!B:B,,长期待摊费用明细表!G:G),2)</f>
        <v>0</v>
      </c>
      <c r="C5" s="292">
        <f>ROUND(SUMIF(长期待摊费用明细表!B:B,A5,长期待摊费用明细表!H:H),2)</f>
        <v>0</v>
      </c>
      <c r="D5" s="292">
        <f>ROUND(SUMIF(长期待摊费用明细表!B:B,A5,长期待摊费用明细表!I:I),2)</f>
        <v>0</v>
      </c>
      <c r="E5" s="292">
        <f>ROUND(SUMIF(长期待摊费用明细表!B:B,A5,长期待摊费用明细表!J:J),2)</f>
        <v>0</v>
      </c>
      <c r="F5" s="289">
        <f t="shared" si="0"/>
        <v>0</v>
      </c>
      <c r="G5" s="562"/>
    </row>
    <row r="6" spans="1:7" ht="14.4">
      <c r="A6" s="629"/>
      <c r="B6" s="292">
        <f>ROUND(SUMIF(长期待摊费用明细表!B:B,,长期待摊费用明细表!G:G),2)</f>
        <v>0</v>
      </c>
      <c r="C6" s="292">
        <f>ROUND(SUMIF(长期待摊费用明细表!B:B,A6,长期待摊费用明细表!H:H),2)</f>
        <v>0</v>
      </c>
      <c r="D6" s="292">
        <f>ROUND(SUMIF(长期待摊费用明细表!B:B,A6,长期待摊费用明细表!I:I),2)</f>
        <v>0</v>
      </c>
      <c r="E6" s="292">
        <f>ROUND(SUMIF(长期待摊费用明细表!B:B,A6,长期待摊费用明细表!J:J),2)</f>
        <v>0</v>
      </c>
      <c r="F6" s="289">
        <f t="shared" si="0"/>
        <v>0</v>
      </c>
      <c r="G6" s="562"/>
    </row>
    <row r="7" spans="1:7" ht="14.4">
      <c r="A7" s="629"/>
      <c r="B7" s="292">
        <f>ROUND(SUMIF(长期待摊费用明细表!B:B,,长期待摊费用明细表!G:G),2)</f>
        <v>0</v>
      </c>
      <c r="C7" s="292">
        <f>ROUND(SUMIF(长期待摊费用明细表!B:B,A7,长期待摊费用明细表!H:H),2)</f>
        <v>0</v>
      </c>
      <c r="D7" s="292">
        <f>ROUND(SUMIF(长期待摊费用明细表!B:B,A7,长期待摊费用明细表!I:I),2)</f>
        <v>0</v>
      </c>
      <c r="E7" s="292">
        <f>ROUND(SUMIF(长期待摊费用明细表!B:B,A7,长期待摊费用明细表!J:J),2)</f>
        <v>0</v>
      </c>
      <c r="F7" s="289">
        <f t="shared" si="0"/>
        <v>0</v>
      </c>
      <c r="G7" s="562"/>
    </row>
    <row r="8" spans="1:7" ht="14.4">
      <c r="A8" s="629"/>
      <c r="B8" s="292">
        <f>ROUND(SUMIF(长期待摊费用明细表!B:B,,长期待摊费用明细表!G:G),2)</f>
        <v>0</v>
      </c>
      <c r="C8" s="292">
        <f>ROUND(SUMIF(长期待摊费用明细表!B:B,A8,长期待摊费用明细表!H:H),2)</f>
        <v>0</v>
      </c>
      <c r="D8" s="292">
        <f>ROUND(SUMIF(长期待摊费用明细表!B:B,A8,长期待摊费用明细表!I:I),2)</f>
        <v>0</v>
      </c>
      <c r="E8" s="292">
        <f>ROUND(SUMIF(长期待摊费用明细表!B:B,A8,长期待摊费用明细表!J:J),2)</f>
        <v>0</v>
      </c>
      <c r="F8" s="289">
        <f t="shared" si="0"/>
        <v>0</v>
      </c>
      <c r="G8" s="562"/>
    </row>
    <row r="9" spans="1:7" ht="14.4">
      <c r="A9" s="629"/>
      <c r="B9" s="292">
        <f>ROUND(SUMIF(长期待摊费用明细表!B:B,,长期待摊费用明细表!G:G),2)</f>
        <v>0</v>
      </c>
      <c r="C9" s="292">
        <f>ROUND(SUMIF(长期待摊费用明细表!B:B,A9,长期待摊费用明细表!H:H),2)</f>
        <v>0</v>
      </c>
      <c r="D9" s="292">
        <f>ROUND(SUMIF(长期待摊费用明细表!B:B,A9,长期待摊费用明细表!I:I),2)</f>
        <v>0</v>
      </c>
      <c r="E9" s="292">
        <f>ROUND(SUMIF(长期待摊费用明细表!B:B,A9,长期待摊费用明细表!J:J),2)</f>
        <v>0</v>
      </c>
      <c r="F9" s="289">
        <f t="shared" si="0"/>
        <v>0</v>
      </c>
      <c r="G9" s="562"/>
    </row>
    <row r="10" spans="1:7" ht="14.4">
      <c r="A10" s="53" t="s">
        <v>204</v>
      </c>
      <c r="B10" s="630">
        <f>ROUND(SUM(B2:B9),2)</f>
        <v>0</v>
      </c>
      <c r="C10" s="630">
        <f>ROUND(SUM(C2:C9),2)</f>
        <v>0</v>
      </c>
      <c r="D10" s="630">
        <f>ROUND(SUM(D2:D9),2)</f>
        <v>0</v>
      </c>
      <c r="E10" s="630">
        <f>ROUND(SUM(E2:E9),2)</f>
        <v>0</v>
      </c>
      <c r="F10" s="630">
        <f>ROUND(SUM(F2:F9),2)</f>
        <v>0</v>
      </c>
      <c r="G10" s="38"/>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121A-5767-4C45-A577-6F525692A370}">
  <sheetPr codeName="Sheet236"/>
  <dimension ref="A1:N9"/>
  <sheetViews>
    <sheetView workbookViewId="0">
      <selection activeCell="I29" sqref="I29"/>
    </sheetView>
  </sheetViews>
  <sheetFormatPr defaultRowHeight="13.8"/>
  <cols>
    <col min="3" max="3" width="11.6640625" bestFit="1" customWidth="1"/>
    <col min="4" max="4" width="13.88671875" bestFit="1" customWidth="1"/>
    <col min="6" max="6" width="13.88671875" bestFit="1" customWidth="1"/>
    <col min="7" max="7" width="7.5546875" style="229" bestFit="1" customWidth="1"/>
    <col min="8" max="10" width="9.5546875" style="229" bestFit="1" customWidth="1"/>
    <col min="11" max="11" width="9.5546875" style="229" customWidth="1"/>
    <col min="12" max="12" width="13.88671875" style="229" bestFit="1" customWidth="1"/>
    <col min="13" max="13" width="7.5546875" style="229" bestFit="1" customWidth="1"/>
    <col min="14" max="14" width="16.109375" style="229" bestFit="1" customWidth="1"/>
  </cols>
  <sheetData>
    <row r="1" spans="1:14">
      <c r="A1" t="s">
        <v>2383</v>
      </c>
      <c r="B1" t="s">
        <v>28</v>
      </c>
      <c r="C1" t="s">
        <v>3578</v>
      </c>
      <c r="D1" t="s">
        <v>3579</v>
      </c>
      <c r="E1" t="s">
        <v>3582</v>
      </c>
      <c r="F1" t="s">
        <v>3577</v>
      </c>
      <c r="G1" s="229" t="s">
        <v>265</v>
      </c>
      <c r="H1" s="229" t="s">
        <v>359</v>
      </c>
      <c r="I1" s="229" t="s">
        <v>360</v>
      </c>
      <c r="J1" s="229" t="s">
        <v>448</v>
      </c>
      <c r="K1" s="229" t="s">
        <v>3580</v>
      </c>
      <c r="L1" s="229" t="s">
        <v>3581</v>
      </c>
      <c r="M1" s="229" t="s">
        <v>203</v>
      </c>
      <c r="N1" s="229" t="s">
        <v>478</v>
      </c>
    </row>
    <row r="2" spans="1:14">
      <c r="A2" t="str">
        <f>IF(OR(G2&gt;0,M2&gt;0),基础信息!$B$1,"")</f>
        <v/>
      </c>
      <c r="B2" s="255"/>
      <c r="C2" s="255"/>
      <c r="D2" s="255"/>
      <c r="E2" s="255"/>
      <c r="F2" s="255"/>
      <c r="G2" s="229">
        <f>E2-F2</f>
        <v>0</v>
      </c>
      <c r="H2" s="288"/>
      <c r="I2" s="229">
        <f>IFERROR(E2*D2/C2,0)</f>
        <v>0</v>
      </c>
      <c r="J2" s="288"/>
      <c r="K2" s="229">
        <f>E2+H2-J2</f>
        <v>0</v>
      </c>
      <c r="L2" s="229">
        <f>F2+I2</f>
        <v>0</v>
      </c>
      <c r="M2" s="229">
        <f>K2-L2</f>
        <v>0</v>
      </c>
      <c r="N2" s="288"/>
    </row>
    <row r="3" spans="1:14">
      <c r="A3" t="str">
        <f>IF(OR(G3&gt;0,M3&gt;0),基础信息!$B$1,"")</f>
        <v/>
      </c>
      <c r="B3" s="255"/>
      <c r="C3" s="255"/>
      <c r="D3" s="255"/>
      <c r="E3" s="255"/>
      <c r="F3" s="255"/>
      <c r="G3" s="229">
        <f t="shared" ref="G3:G9" si="0">E3-F3</f>
        <v>0</v>
      </c>
      <c r="H3" s="288"/>
      <c r="I3" s="229">
        <f t="shared" ref="I3:I9" si="1">IFERROR(E3*D3/C3,0)</f>
        <v>0</v>
      </c>
      <c r="J3" s="288"/>
      <c r="K3" s="229">
        <f t="shared" ref="K3:K9" si="2">E3+H3-J3</f>
        <v>0</v>
      </c>
      <c r="L3" s="229">
        <f t="shared" ref="L3:L9" si="3">F3+I3</f>
        <v>0</v>
      </c>
      <c r="M3" s="229">
        <f t="shared" ref="M3:M9" si="4">K3-L3</f>
        <v>0</v>
      </c>
      <c r="N3" s="288"/>
    </row>
    <row r="4" spans="1:14">
      <c r="A4" t="str">
        <f>IF(OR(G4&gt;0,M4&gt;0),基础信息!$B$1,"")</f>
        <v/>
      </c>
      <c r="B4" s="255"/>
      <c r="C4" s="255"/>
      <c r="D4" s="255"/>
      <c r="E4" s="255"/>
      <c r="F4" s="255"/>
      <c r="G4" s="229">
        <f t="shared" si="0"/>
        <v>0</v>
      </c>
      <c r="H4" s="288"/>
      <c r="I4" s="229">
        <f t="shared" si="1"/>
        <v>0</v>
      </c>
      <c r="J4" s="288"/>
      <c r="K4" s="229">
        <f t="shared" si="2"/>
        <v>0</v>
      </c>
      <c r="L4" s="229">
        <f t="shared" si="3"/>
        <v>0</v>
      </c>
      <c r="M4" s="229">
        <f t="shared" si="4"/>
        <v>0</v>
      </c>
      <c r="N4" s="288"/>
    </row>
    <row r="5" spans="1:14">
      <c r="A5" t="str">
        <f>IF(OR(G5&gt;0,M5&gt;0),基础信息!$B$1,"")</f>
        <v/>
      </c>
      <c r="B5" s="255"/>
      <c r="C5" s="255"/>
      <c r="D5" s="255"/>
      <c r="E5" s="255"/>
      <c r="F5" s="255"/>
      <c r="G5" s="229">
        <f t="shared" si="0"/>
        <v>0</v>
      </c>
      <c r="H5" s="288"/>
      <c r="I5" s="229">
        <f t="shared" si="1"/>
        <v>0</v>
      </c>
      <c r="J5" s="288"/>
      <c r="K5" s="229">
        <f t="shared" si="2"/>
        <v>0</v>
      </c>
      <c r="L5" s="229">
        <f t="shared" si="3"/>
        <v>0</v>
      </c>
      <c r="M5" s="229">
        <f t="shared" si="4"/>
        <v>0</v>
      </c>
      <c r="N5" s="288"/>
    </row>
    <row r="6" spans="1:14">
      <c r="A6" t="str">
        <f>IF(OR(G6&gt;0,M6&gt;0),基础信息!$B$1,"")</f>
        <v/>
      </c>
      <c r="B6" s="255"/>
      <c r="C6" s="255"/>
      <c r="D6" s="255"/>
      <c r="E6" s="255"/>
      <c r="F6" s="255"/>
      <c r="G6" s="229">
        <f t="shared" si="0"/>
        <v>0</v>
      </c>
      <c r="H6" s="288"/>
      <c r="I6" s="229">
        <f t="shared" si="1"/>
        <v>0</v>
      </c>
      <c r="J6" s="288"/>
      <c r="K6" s="229">
        <f t="shared" si="2"/>
        <v>0</v>
      </c>
      <c r="L6" s="229">
        <f t="shared" si="3"/>
        <v>0</v>
      </c>
      <c r="M6" s="229">
        <f t="shared" si="4"/>
        <v>0</v>
      </c>
      <c r="N6" s="288"/>
    </row>
    <row r="7" spans="1:14">
      <c r="A7" t="str">
        <f>IF(OR(G7&gt;0,M7&gt;0),基础信息!$B$1,"")</f>
        <v/>
      </c>
      <c r="B7" s="255"/>
      <c r="C7" s="255"/>
      <c r="D7" s="255"/>
      <c r="E7" s="255"/>
      <c r="F7" s="255"/>
      <c r="G7" s="229">
        <f t="shared" si="0"/>
        <v>0</v>
      </c>
      <c r="H7" s="288"/>
      <c r="I7" s="229">
        <f t="shared" si="1"/>
        <v>0</v>
      </c>
      <c r="J7" s="288"/>
      <c r="K7" s="229">
        <f t="shared" si="2"/>
        <v>0</v>
      </c>
      <c r="L7" s="229">
        <f t="shared" si="3"/>
        <v>0</v>
      </c>
      <c r="M7" s="229">
        <f t="shared" si="4"/>
        <v>0</v>
      </c>
      <c r="N7" s="288"/>
    </row>
    <row r="8" spans="1:14">
      <c r="A8" t="str">
        <f>IF(OR(G8&gt;0,M8&gt;0),基础信息!$B$1,"")</f>
        <v/>
      </c>
      <c r="B8" s="255"/>
      <c r="C8" s="255"/>
      <c r="D8" s="255"/>
      <c r="E8" s="255"/>
      <c r="F8" s="255"/>
      <c r="G8" s="229">
        <f t="shared" si="0"/>
        <v>0</v>
      </c>
      <c r="H8" s="288"/>
      <c r="I8" s="229">
        <f t="shared" si="1"/>
        <v>0</v>
      </c>
      <c r="J8" s="288"/>
      <c r="K8" s="229">
        <f t="shared" si="2"/>
        <v>0</v>
      </c>
      <c r="L8" s="229">
        <f t="shared" si="3"/>
        <v>0</v>
      </c>
      <c r="M8" s="229">
        <f t="shared" si="4"/>
        <v>0</v>
      </c>
      <c r="N8" s="288"/>
    </row>
    <row r="9" spans="1:14">
      <c r="A9" t="str">
        <f>IF(OR(G9&gt;0,M9&gt;0),基础信息!$B$1,"")</f>
        <v/>
      </c>
      <c r="B9" s="255"/>
      <c r="C9" s="255"/>
      <c r="D9" s="255"/>
      <c r="E9" s="255"/>
      <c r="F9" s="255"/>
      <c r="G9" s="229">
        <f t="shared" si="0"/>
        <v>0</v>
      </c>
      <c r="H9" s="288"/>
      <c r="I9" s="229">
        <f t="shared" si="1"/>
        <v>0</v>
      </c>
      <c r="J9" s="288"/>
      <c r="K9" s="229">
        <f t="shared" si="2"/>
        <v>0</v>
      </c>
      <c r="L9" s="229">
        <f t="shared" si="3"/>
        <v>0</v>
      </c>
      <c r="M9" s="229">
        <f t="shared" si="4"/>
        <v>0</v>
      </c>
      <c r="N9" s="288"/>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codeName="Sheet237">
    <tabColor rgb="FFFFC000"/>
  </sheetPr>
  <dimension ref="A1:E53"/>
  <sheetViews>
    <sheetView topLeftCell="A19" workbookViewId="0">
      <selection activeCell="J46" sqref="J46"/>
    </sheetView>
  </sheetViews>
  <sheetFormatPr defaultRowHeight="13.8"/>
  <cols>
    <col min="1" max="1" width="37.77734375" style="18" customWidth="1"/>
    <col min="2" max="16384" width="8.88671875" style="18"/>
  </cols>
  <sheetData>
    <row r="1" spans="1:5" ht="43.2">
      <c r="A1" s="32" t="s">
        <v>28</v>
      </c>
      <c r="B1" s="32" t="s">
        <v>481</v>
      </c>
      <c r="C1" s="32" t="s">
        <v>3364</v>
      </c>
      <c r="D1" s="32" t="s">
        <v>482</v>
      </c>
      <c r="E1" s="32" t="s">
        <v>483</v>
      </c>
    </row>
    <row r="2" spans="1:5" ht="14.4">
      <c r="A2" s="563" t="s">
        <v>57</v>
      </c>
      <c r="B2" s="564">
        <f>ROUND(SUMIF(可抵扣暂时性差异明细表!B:B,A2,可抵扣暂时性差异明细表!Q:Q),2)</f>
        <v>0</v>
      </c>
      <c r="C2" s="564">
        <f>ROUND(SUMIF(可抵扣暂时性差异明细表!B:B,A2,可抵扣暂时性差异明细表!T:T),2)</f>
        <v>0</v>
      </c>
      <c r="D2" s="564">
        <f>ROUND(SUMIF(可抵扣暂时性差异明细表!B:B,A2,可抵扣暂时性差异明细表!D:D),2)</f>
        <v>0</v>
      </c>
      <c r="E2" s="564">
        <f>ROUND(SUMIF(可抵扣暂时性差异明细表!B:B,A2,可抵扣暂时性差异明细表!S:S),2)</f>
        <v>0</v>
      </c>
    </row>
    <row r="3" spans="1:5" ht="14.4">
      <c r="A3" s="563" t="s">
        <v>58</v>
      </c>
      <c r="B3" s="564">
        <f>ROUND(SUMIF(可抵扣暂时性差异明细表!B:B,A3,可抵扣暂时性差异明细表!Q:Q),2)</f>
        <v>0</v>
      </c>
      <c r="C3" s="564">
        <f>ROUND(SUMIF(可抵扣暂时性差异明细表!B:B,A3,可抵扣暂时性差异明细表!T:T),2)</f>
        <v>0</v>
      </c>
      <c r="D3" s="564">
        <f>ROUND(SUMIF(可抵扣暂时性差异明细表!B:B,A3,可抵扣暂时性差异明细表!D:D),2)</f>
        <v>0</v>
      </c>
      <c r="E3" s="564">
        <f>ROUND(SUMIF(可抵扣暂时性差异明细表!B:B,A3,可抵扣暂时性差异明细表!S:S),2)</f>
        <v>0</v>
      </c>
    </row>
    <row r="4" spans="1:5" ht="14.4">
      <c r="A4" s="563" t="s">
        <v>2861</v>
      </c>
      <c r="B4" s="564">
        <f>ROUND(SUMIF(可抵扣暂时性差异明细表!B:B,A4,可抵扣暂时性差异明细表!Q:Q),2)</f>
        <v>0</v>
      </c>
      <c r="C4" s="564">
        <f>ROUND(SUMIF(可抵扣暂时性差异明细表!B:B,A4,可抵扣暂时性差异明细表!T:T),2)</f>
        <v>0</v>
      </c>
      <c r="D4" s="564">
        <f>ROUND(SUMIF(可抵扣暂时性差异明细表!B:B,A4,可抵扣暂时性差异明细表!D:D),2)</f>
        <v>0</v>
      </c>
      <c r="E4" s="564">
        <f>ROUND(SUMIF(可抵扣暂时性差异明细表!B:B,A4,可抵扣暂时性差异明细表!S:S),2)</f>
        <v>0</v>
      </c>
    </row>
    <row r="5" spans="1:5" ht="14.4">
      <c r="A5" s="563" t="s">
        <v>2863</v>
      </c>
      <c r="B5" s="564">
        <f>ROUND(SUMIF(可抵扣暂时性差异明细表!B:B,A5,可抵扣暂时性差异明细表!Q:Q),2)</f>
        <v>0</v>
      </c>
      <c r="C5" s="564">
        <f>ROUND(SUMIF(可抵扣暂时性差异明细表!B:B,A5,可抵扣暂时性差异明细表!T:T),2)</f>
        <v>0</v>
      </c>
      <c r="D5" s="564">
        <f>ROUND(SUMIF(可抵扣暂时性差异明细表!B:B,A5,可抵扣暂时性差异明细表!D:D),2)</f>
        <v>0</v>
      </c>
      <c r="E5" s="564">
        <f>ROUND(SUMIF(可抵扣暂时性差异明细表!B:B,A5,可抵扣暂时性差异明细表!S:S),2)</f>
        <v>0</v>
      </c>
    </row>
    <row r="6" spans="1:5" ht="14.4">
      <c r="A6" s="563" t="s">
        <v>59</v>
      </c>
      <c r="B6" s="564">
        <f>ROUND(SUMIF(可抵扣暂时性差异明细表!B:B,A6,可抵扣暂时性差异明细表!Q:Q),2)</f>
        <v>0</v>
      </c>
      <c r="C6" s="564">
        <f>ROUND(SUMIF(可抵扣暂时性差异明细表!B:B,A6,可抵扣暂时性差异明细表!T:T),2)</f>
        <v>0</v>
      </c>
      <c r="D6" s="564">
        <f>ROUND(SUMIF(可抵扣暂时性差异明细表!B:B,A6,可抵扣暂时性差异明细表!D:D),2)</f>
        <v>0</v>
      </c>
      <c r="E6" s="564">
        <f>ROUND(SUMIF(可抵扣暂时性差异明细表!B:B,A6,可抵扣暂时性差异明细表!S:S),2)</f>
        <v>0</v>
      </c>
    </row>
    <row r="7" spans="1:5" ht="14.4">
      <c r="A7" s="563" t="s">
        <v>61</v>
      </c>
      <c r="B7" s="564">
        <f>ROUND(SUMIF(可抵扣暂时性差异明细表!B:B,A7,可抵扣暂时性差异明细表!Q:Q),2)</f>
        <v>0</v>
      </c>
      <c r="C7" s="564">
        <f>ROUND(SUMIF(可抵扣暂时性差异明细表!B:B,A7,可抵扣暂时性差异明细表!T:T),2)</f>
        <v>0</v>
      </c>
      <c r="D7" s="564">
        <f>ROUND(SUMIF(可抵扣暂时性差异明细表!B:B,A7,可抵扣暂时性差异明细表!D:D),2)</f>
        <v>0</v>
      </c>
      <c r="E7" s="564">
        <f>ROUND(SUMIF(可抵扣暂时性差异明细表!B:B,A7,可抵扣暂时性差异明细表!S:S),2)</f>
        <v>0</v>
      </c>
    </row>
    <row r="8" spans="1:5" ht="14.4">
      <c r="A8" s="563" t="s">
        <v>64</v>
      </c>
      <c r="B8" s="564">
        <f>ROUND(SUMIF(可抵扣暂时性差异明细表!B:B,A8,可抵扣暂时性差异明细表!Q:Q),2)</f>
        <v>0</v>
      </c>
      <c r="C8" s="564">
        <f>ROUND(SUMIF(可抵扣暂时性差异明细表!B:B,A8,可抵扣暂时性差异明细表!T:T),2)</f>
        <v>0</v>
      </c>
      <c r="D8" s="564">
        <f>ROUND(SUMIF(可抵扣暂时性差异明细表!B:B,A8,可抵扣暂时性差异明细表!D:D),2)</f>
        <v>0</v>
      </c>
      <c r="E8" s="564">
        <f>ROUND(SUMIF(可抵扣暂时性差异明细表!B:B,A8,可抵扣暂时性差异明细表!S:S),2)</f>
        <v>0</v>
      </c>
    </row>
    <row r="9" spans="1:5" ht="14.4">
      <c r="A9" s="563" t="s">
        <v>2866</v>
      </c>
      <c r="B9" s="564">
        <f>ROUND(SUMIF(可抵扣暂时性差异明细表!B:B,A9,可抵扣暂时性差异明细表!Q:Q),2)</f>
        <v>0</v>
      </c>
      <c r="C9" s="564">
        <f>ROUND(SUMIF(可抵扣暂时性差异明细表!B:B,A9,可抵扣暂时性差异明细表!T:T),2)</f>
        <v>0</v>
      </c>
      <c r="D9" s="564">
        <f>ROUND(SUMIF(可抵扣暂时性差异明细表!B:B,A9,可抵扣暂时性差异明细表!D:D),2)</f>
        <v>0</v>
      </c>
      <c r="E9" s="564">
        <f>ROUND(SUMIF(可抵扣暂时性差异明细表!B:B,A9,可抵扣暂时性差异明细表!S:S),2)</f>
        <v>0</v>
      </c>
    </row>
    <row r="10" spans="1:5" ht="14.4">
      <c r="A10" s="563" t="s">
        <v>62</v>
      </c>
      <c r="B10" s="564">
        <f>ROUND(SUMIF(可抵扣暂时性差异明细表!B:B,A10,可抵扣暂时性差异明细表!Q:Q),2)</f>
        <v>0</v>
      </c>
      <c r="C10" s="564">
        <f>ROUND(SUMIF(可抵扣暂时性差异明细表!B:B,A10,可抵扣暂时性差异明细表!T:T),2)</f>
        <v>0</v>
      </c>
      <c r="D10" s="564">
        <f>ROUND(SUMIF(可抵扣暂时性差异明细表!B:B,A10,可抵扣暂时性差异明细表!D:D),2)</f>
        <v>0</v>
      </c>
      <c r="E10" s="564">
        <f>ROUND(SUMIF(可抵扣暂时性差异明细表!B:B,A10,可抵扣暂时性差异明细表!S:S),2)</f>
        <v>0</v>
      </c>
    </row>
    <row r="11" spans="1:5" ht="14.4">
      <c r="A11" s="563" t="s">
        <v>2868</v>
      </c>
      <c r="B11" s="564">
        <f>ROUND(SUMIF(可抵扣暂时性差异明细表!B:B,A11,可抵扣暂时性差异明细表!Q:Q),2)</f>
        <v>0</v>
      </c>
      <c r="C11" s="564">
        <f>ROUND(SUMIF(可抵扣暂时性差异明细表!B:B,A11,可抵扣暂时性差异明细表!T:T),2)</f>
        <v>0</v>
      </c>
      <c r="D11" s="564">
        <f>ROUND(SUMIF(可抵扣暂时性差异明细表!B:B,A11,可抵扣暂时性差异明细表!D:D),2)</f>
        <v>0</v>
      </c>
      <c r="E11" s="564">
        <f>ROUND(SUMIF(可抵扣暂时性差异明细表!B:B,A11,可抵扣暂时性差异明细表!S:S),2)</f>
        <v>0</v>
      </c>
    </row>
    <row r="12" spans="1:5" ht="14.4">
      <c r="A12" s="563" t="s">
        <v>2870</v>
      </c>
      <c r="B12" s="564">
        <f>ROUND(SUMIF(可抵扣暂时性差异明细表!B:B,A12,可抵扣暂时性差异明细表!Q:Q),2)</f>
        <v>0</v>
      </c>
      <c r="C12" s="564">
        <f>ROUND(SUMIF(可抵扣暂时性差异明细表!B:B,A12,可抵扣暂时性差异明细表!T:T),2)</f>
        <v>0</v>
      </c>
      <c r="D12" s="564">
        <f>ROUND(SUMIF(可抵扣暂时性差异明细表!B:B,A12,可抵扣暂时性差异明细表!D:D),2)</f>
        <v>0</v>
      </c>
      <c r="E12" s="564">
        <f>ROUND(SUMIF(可抵扣暂时性差异明细表!B:B,A12,可抵扣暂时性差异明细表!S:S),2)</f>
        <v>0</v>
      </c>
    </row>
    <row r="13" spans="1:5" ht="14.4">
      <c r="A13" s="563" t="s">
        <v>904</v>
      </c>
      <c r="B13" s="564">
        <f>ROUND(SUMIF(可抵扣暂时性差异明细表!B:B,A13,可抵扣暂时性差异明细表!Q:Q),2)</f>
        <v>0</v>
      </c>
      <c r="C13" s="564">
        <f>ROUND(SUMIF(可抵扣暂时性差异明细表!B:B,A13,可抵扣暂时性差异明细表!T:T),2)</f>
        <v>0</v>
      </c>
      <c r="D13" s="564">
        <f>ROUND(SUMIF(可抵扣暂时性差异明细表!B:B,A13,可抵扣暂时性差异明细表!D:D),2)</f>
        <v>0</v>
      </c>
      <c r="E13" s="564">
        <f>ROUND(SUMIF(可抵扣暂时性差异明细表!B:B,A13,可抵扣暂时性差异明细表!S:S),2)</f>
        <v>0</v>
      </c>
    </row>
    <row r="14" spans="1:5" ht="14.4">
      <c r="A14" s="563" t="s">
        <v>2874</v>
      </c>
      <c r="B14" s="564">
        <f>ROUND(SUMIF(可抵扣暂时性差异明细表!B:B,A14,可抵扣暂时性差异明细表!Q:Q),2)</f>
        <v>0</v>
      </c>
      <c r="C14" s="564">
        <f>ROUND(SUMIF(可抵扣暂时性差异明细表!B:B,A14,可抵扣暂时性差异明细表!T:T),2)</f>
        <v>0</v>
      </c>
      <c r="D14" s="564">
        <f>ROUND(SUMIF(可抵扣暂时性差异明细表!B:B,A14,可抵扣暂时性差异明细表!D:D),2)</f>
        <v>0</v>
      </c>
      <c r="E14" s="564">
        <f>ROUND(SUMIF(可抵扣暂时性差异明细表!B:B,A14,可抵扣暂时性差异明细表!S:S),2)</f>
        <v>0</v>
      </c>
    </row>
    <row r="15" spans="1:5" ht="14.4">
      <c r="A15" s="563" t="s">
        <v>2824</v>
      </c>
      <c r="B15" s="564">
        <f>ROUND(SUMIF(可抵扣暂时性差异明细表!B:B,A15,可抵扣暂时性差异明细表!Q:Q),2)</f>
        <v>0</v>
      </c>
      <c r="C15" s="564">
        <f>ROUND(SUMIF(可抵扣暂时性差异明细表!B:B,A15,可抵扣暂时性差异明细表!T:T),2)</f>
        <v>0</v>
      </c>
      <c r="D15" s="564">
        <f>ROUND(SUMIF(可抵扣暂时性差异明细表!B:B,A15,可抵扣暂时性差异明细表!D:D),2)</f>
        <v>0</v>
      </c>
      <c r="E15" s="564">
        <f>ROUND(SUMIF(可抵扣暂时性差异明细表!B:B,A15,可抵扣暂时性差异明细表!S:S),2)</f>
        <v>0</v>
      </c>
    </row>
    <row r="16" spans="1:5" ht="14.4">
      <c r="A16" s="563" t="s">
        <v>670</v>
      </c>
      <c r="B16" s="564">
        <f>ROUND(SUMIF(可抵扣暂时性差异明细表!B:B,A16,可抵扣暂时性差异明细表!Q:Q),2)</f>
        <v>0</v>
      </c>
      <c r="C16" s="564">
        <f>ROUND(SUMIF(可抵扣暂时性差异明细表!B:B,A16,可抵扣暂时性差异明细表!T:T),2)</f>
        <v>0</v>
      </c>
      <c r="D16" s="564">
        <f>ROUND(SUMIF(可抵扣暂时性差异明细表!B:B,A16,可抵扣暂时性差异明细表!D:D),2)</f>
        <v>0</v>
      </c>
      <c r="E16" s="564">
        <f>ROUND(SUMIF(可抵扣暂时性差异明细表!B:B,A16,可抵扣暂时性差异明细表!S:S),2)</f>
        <v>0</v>
      </c>
    </row>
    <row r="17" spans="1:5" ht="14.4">
      <c r="A17" s="563" t="s">
        <v>747</v>
      </c>
      <c r="B17" s="564">
        <f>ROUND(SUMIF(可抵扣暂时性差异明细表!B:B,A17,可抵扣暂时性差异明细表!Q:Q),2)</f>
        <v>0</v>
      </c>
      <c r="C17" s="564">
        <f>ROUND(SUMIF(可抵扣暂时性差异明细表!B:B,A17,可抵扣暂时性差异明细表!T:T),2)</f>
        <v>0</v>
      </c>
      <c r="D17" s="564">
        <f>ROUND(SUMIF(可抵扣暂时性差异明细表!B:B,A17,可抵扣暂时性差异明细表!D:D),2)</f>
        <v>0</v>
      </c>
      <c r="E17" s="564">
        <f>ROUND(SUMIF(可抵扣暂时性差异明细表!B:B,A17,可抵扣暂时性差异明细表!S:S),2)</f>
        <v>0</v>
      </c>
    </row>
    <row r="18" spans="1:5" ht="14.4">
      <c r="A18" s="563" t="s">
        <v>744</v>
      </c>
      <c r="B18" s="564">
        <f>ROUND(SUMIF(可抵扣暂时性差异明细表!B:B,A18,可抵扣暂时性差异明细表!Q:Q),2)</f>
        <v>0</v>
      </c>
      <c r="C18" s="564">
        <f>ROUND(SUMIF(可抵扣暂时性差异明细表!B:B,A18,可抵扣暂时性差异明细表!T:T),2)</f>
        <v>0</v>
      </c>
      <c r="D18" s="564">
        <f>ROUND(SUMIF(可抵扣暂时性差异明细表!B:B,A18,可抵扣暂时性差异明细表!D:D),2)</f>
        <v>0</v>
      </c>
      <c r="E18" s="564">
        <f>ROUND(SUMIF(可抵扣暂时性差异明细表!B:B,A18,可抵扣暂时性差异明细表!S:S),2)</f>
        <v>0</v>
      </c>
    </row>
    <row r="19" spans="1:5" ht="14.4">
      <c r="A19" s="563" t="s">
        <v>955</v>
      </c>
      <c r="B19" s="564">
        <f>ROUND(SUMIF(可抵扣暂时性差异明细表!B:B,A19,可抵扣暂时性差异明细表!Q:Q),2)</f>
        <v>0</v>
      </c>
      <c r="C19" s="564">
        <f>ROUND(SUMIF(可抵扣暂时性差异明细表!B:B,A19,可抵扣暂时性差异明细表!T:T),2)</f>
        <v>0</v>
      </c>
      <c r="D19" s="564">
        <f>ROUND(SUMIF(可抵扣暂时性差异明细表!B:B,A19,可抵扣暂时性差异明细表!D:D),2)</f>
        <v>0</v>
      </c>
      <c r="E19" s="564">
        <f>ROUND(SUMIF(可抵扣暂时性差异明细表!B:B,A19,可抵扣暂时性差异明细表!S:S),2)</f>
        <v>0</v>
      </c>
    </row>
    <row r="20" spans="1:5" ht="14.4">
      <c r="A20" s="563" t="s">
        <v>748</v>
      </c>
      <c r="B20" s="564">
        <f>ROUND(SUMIF(可抵扣暂时性差异明细表!B:B,A20,可抵扣暂时性差异明细表!Q:Q),2)</f>
        <v>0</v>
      </c>
      <c r="C20" s="564">
        <f>ROUND(SUMIF(可抵扣暂时性差异明细表!B:B,A20,可抵扣暂时性差异明细表!T:T),2)</f>
        <v>0</v>
      </c>
      <c r="D20" s="564">
        <f>ROUND(SUMIF(可抵扣暂时性差异明细表!B:B,A20,可抵扣暂时性差异明细表!D:D),2)</f>
        <v>0</v>
      </c>
      <c r="E20" s="564">
        <f>ROUND(SUMIF(可抵扣暂时性差异明细表!B:B,A20,可抵扣暂时性差异明细表!S:S),2)</f>
        <v>0</v>
      </c>
    </row>
    <row r="21" spans="1:5" ht="14.4">
      <c r="A21" s="563" t="s">
        <v>2876</v>
      </c>
      <c r="B21" s="564">
        <f>ROUND(SUMIF(可抵扣暂时性差异明细表!B:B,A21,可抵扣暂时性差异明细表!Q:Q),2)</f>
        <v>0</v>
      </c>
      <c r="C21" s="564">
        <f>ROUND(SUMIF(可抵扣暂时性差异明细表!B:B,A21,可抵扣暂时性差异明细表!T:T),2)</f>
        <v>0</v>
      </c>
      <c r="D21" s="564">
        <f>ROUND(SUMIF(可抵扣暂时性差异明细表!B:B,A21,可抵扣暂时性差异明细表!D:D),2)</f>
        <v>0</v>
      </c>
      <c r="E21" s="564">
        <f>ROUND(SUMIF(可抵扣暂时性差异明细表!B:B,A21,可抵扣暂时性差异明细表!S:S),2)</f>
        <v>0</v>
      </c>
    </row>
    <row r="22" spans="1:5" ht="14.4">
      <c r="A22" s="563" t="s">
        <v>2878</v>
      </c>
      <c r="B22" s="564">
        <f>ROUND(SUMIF(可抵扣暂时性差异明细表!B:B,A22,可抵扣暂时性差异明细表!Q:Q),2)</f>
        <v>0</v>
      </c>
      <c r="C22" s="564">
        <f>ROUND(SUMIF(可抵扣暂时性差异明细表!B:B,A22,可抵扣暂时性差异明细表!T:T),2)</f>
        <v>0</v>
      </c>
      <c r="D22" s="564">
        <f>ROUND(SUMIF(可抵扣暂时性差异明细表!B:B,A22,可抵扣暂时性差异明细表!D:D),2)</f>
        <v>0</v>
      </c>
      <c r="E22" s="564">
        <f>ROUND(SUMIF(可抵扣暂时性差异明细表!B:B,A22,可抵扣暂时性差异明细表!S:S),2)</f>
        <v>0</v>
      </c>
    </row>
    <row r="23" spans="1:5" ht="14.4">
      <c r="A23" s="563" t="s">
        <v>988</v>
      </c>
      <c r="B23" s="564">
        <f>ROUND(SUMIF(可抵扣暂时性差异明细表!B:B,A23,可抵扣暂时性差异明细表!Q:Q),2)</f>
        <v>0</v>
      </c>
      <c r="C23" s="564">
        <f>ROUND(SUMIF(可抵扣暂时性差异明细表!B:B,A23,可抵扣暂时性差异明细表!T:T),2)</f>
        <v>0</v>
      </c>
      <c r="D23" s="564">
        <f>ROUND(SUMIF(可抵扣暂时性差异明细表!B:B,A23,可抵扣暂时性差异明细表!D:D),2)</f>
        <v>0</v>
      </c>
      <c r="E23" s="564">
        <f>ROUND(SUMIF(可抵扣暂时性差异明细表!B:B,A23,可抵扣暂时性差异明细表!S:S),2)</f>
        <v>0</v>
      </c>
    </row>
    <row r="24" spans="1:5" ht="14.4">
      <c r="A24" s="563" t="s">
        <v>997</v>
      </c>
      <c r="B24" s="564">
        <f>ROUND(SUMIF(可抵扣暂时性差异明细表!B:B,A24,可抵扣暂时性差异明细表!Q:Q),2)</f>
        <v>0</v>
      </c>
      <c r="C24" s="564">
        <f>ROUND(SUMIF(可抵扣暂时性差异明细表!B:B,A24,可抵扣暂时性差异明细表!T:T),2)</f>
        <v>0</v>
      </c>
      <c r="D24" s="564">
        <f>ROUND(SUMIF(可抵扣暂时性差异明细表!B:B,A24,可抵扣暂时性差异明细表!D:D),2)</f>
        <v>0</v>
      </c>
      <c r="E24" s="564">
        <f>ROUND(SUMIF(可抵扣暂时性差异明细表!B:B,A24,可抵扣暂时性差异明细表!S:S),2)</f>
        <v>0</v>
      </c>
    </row>
    <row r="25" spans="1:5" ht="14.4">
      <c r="A25" s="563" t="s">
        <v>2881</v>
      </c>
      <c r="B25" s="564">
        <f>ROUND(SUMIF(可抵扣暂时性差异明细表!B:B,A25,可抵扣暂时性差异明细表!Q:Q),2)</f>
        <v>0</v>
      </c>
      <c r="C25" s="564">
        <f>ROUND(SUMIF(可抵扣暂时性差异明细表!B:B,A25,可抵扣暂时性差异明细表!T:T),2)</f>
        <v>0</v>
      </c>
      <c r="D25" s="564">
        <f>ROUND(SUMIF(可抵扣暂时性差异明细表!B:B,A25,可抵扣暂时性差异明细表!D:D),2)</f>
        <v>0</v>
      </c>
      <c r="E25" s="564">
        <f>ROUND(SUMIF(可抵扣暂时性差异明细表!B:B,A25,可抵扣暂时性差异明细表!S:S),2)</f>
        <v>0</v>
      </c>
    </row>
    <row r="26" spans="1:5" ht="14.4">
      <c r="A26" s="563" t="s">
        <v>2883</v>
      </c>
      <c r="B26" s="564">
        <f>ROUND(SUMIF(可抵扣暂时性差异明细表!B:B,A26,可抵扣暂时性差异明细表!Q:Q),2)</f>
        <v>0</v>
      </c>
      <c r="C26" s="564">
        <f>ROUND(SUMIF(可抵扣暂时性差异明细表!B:B,A26,可抵扣暂时性差异明细表!T:T),2)</f>
        <v>0</v>
      </c>
      <c r="D26" s="564">
        <f>ROUND(SUMIF(可抵扣暂时性差异明细表!B:B,A26,可抵扣暂时性差异明细表!D:D),2)</f>
        <v>0</v>
      </c>
      <c r="E26" s="564">
        <f>ROUND(SUMIF(可抵扣暂时性差异明细表!B:B,A26,可抵扣暂时性差异明细表!S:S),2)</f>
        <v>0</v>
      </c>
    </row>
    <row r="27" spans="1:5" ht="14.4">
      <c r="A27" s="563" t="s">
        <v>980</v>
      </c>
      <c r="B27" s="564">
        <f>ROUND(SUMIF(可抵扣暂时性差异明细表!B:B,A27,可抵扣暂时性差异明细表!Q:Q),2)</f>
        <v>0</v>
      </c>
      <c r="C27" s="564">
        <f>ROUND(SUMIF(可抵扣暂时性差异明细表!B:B,A27,可抵扣暂时性差异明细表!T:T),2)</f>
        <v>0</v>
      </c>
      <c r="D27" s="564">
        <f>ROUND(SUMIF(可抵扣暂时性差异明细表!B:B,A27,可抵扣暂时性差异明细表!D:D),2)</f>
        <v>0</v>
      </c>
      <c r="E27" s="564">
        <f>ROUND(SUMIF(可抵扣暂时性差异明细表!B:B,A27,可抵扣暂时性差异明细表!S:S),2)</f>
        <v>0</v>
      </c>
    </row>
    <row r="28" spans="1:5" ht="14.4">
      <c r="A28" s="563" t="s">
        <v>3288</v>
      </c>
      <c r="B28" s="564">
        <f>ROUND(SUMIF(可抵扣暂时性差异明细表!B:B,A28,可抵扣暂时性差异明细表!Q:Q),2)</f>
        <v>0</v>
      </c>
      <c r="C28" s="564">
        <f>ROUND(SUMIF(可抵扣暂时性差异明细表!B:B,A28,可抵扣暂时性差异明细表!T:T),2)</f>
        <v>0</v>
      </c>
      <c r="D28" s="564">
        <f>ROUND(SUMIF(可抵扣暂时性差异明细表!B:B,A28,可抵扣暂时性差异明细表!D:D),2)</f>
        <v>0</v>
      </c>
      <c r="E28" s="564">
        <f>ROUND(SUMIF(可抵扣暂时性差异明细表!B:B,A28,可抵扣暂时性差异明细表!S:S),2)</f>
        <v>0</v>
      </c>
    </row>
    <row r="29" spans="1:5" ht="14.4">
      <c r="A29" s="563" t="s">
        <v>3289</v>
      </c>
      <c r="B29" s="564">
        <f>ROUND(SUMIF(可抵扣暂时性差异明细表!B:B,A29,可抵扣暂时性差异明细表!Q:Q),2)</f>
        <v>0</v>
      </c>
      <c r="C29" s="564">
        <f>ROUND(SUMIF(可抵扣暂时性差异明细表!B:B,A29,可抵扣暂时性差异明细表!T:T),2)</f>
        <v>0</v>
      </c>
      <c r="D29" s="564">
        <f>ROUND(SUMIF(可抵扣暂时性差异明细表!B:B,A29,可抵扣暂时性差异明细表!D:D),2)</f>
        <v>0</v>
      </c>
      <c r="E29" s="564">
        <f>ROUND(SUMIF(可抵扣暂时性差异明细表!B:B,A29,可抵扣暂时性差异明细表!S:S),2)</f>
        <v>0</v>
      </c>
    </row>
    <row r="30" spans="1:5" ht="14.4">
      <c r="A30" s="563" t="s">
        <v>3283</v>
      </c>
      <c r="B30" s="564">
        <f>ROUND(SUMIF(可抵扣暂时性差异明细表!B:B,A30,可抵扣暂时性差异明细表!Q:Q),2)</f>
        <v>0</v>
      </c>
      <c r="C30" s="564">
        <f>ROUND(SUMIF(可抵扣暂时性差异明细表!B:B,A30,可抵扣暂时性差异明细表!T:T),2)</f>
        <v>0</v>
      </c>
      <c r="D30" s="564">
        <f>ROUND(SUMIF(可抵扣暂时性差异明细表!B:B,A30,可抵扣暂时性差异明细表!D:D),2)</f>
        <v>0</v>
      </c>
      <c r="E30" s="564">
        <f>ROUND(SUMIF(可抵扣暂时性差异明细表!B:B,A30,可抵扣暂时性差异明细表!S:S),2)</f>
        <v>0</v>
      </c>
    </row>
    <row r="31" spans="1:5" ht="14.4">
      <c r="A31" s="563" t="s">
        <v>755</v>
      </c>
      <c r="B31" s="564">
        <f>ROUND(SUMIF(可抵扣暂时性差异明细表!B:B,A31,可抵扣暂时性差异明细表!Q:Q),2)</f>
        <v>0</v>
      </c>
      <c r="C31" s="564">
        <f>ROUND(SUMIF(可抵扣暂时性差异明细表!B:B,A31,可抵扣暂时性差异明细表!T:T),2)</f>
        <v>0</v>
      </c>
      <c r="D31" s="564">
        <f>ROUND(SUMIF(可抵扣暂时性差异明细表!B:B,A31,可抵扣暂时性差异明细表!D:D),2)</f>
        <v>0</v>
      </c>
      <c r="E31" s="564">
        <f>ROUND(SUMIF(可抵扣暂时性差异明细表!B:B,A31,可抵扣暂时性差异明细表!S:S),2)</f>
        <v>0</v>
      </c>
    </row>
    <row r="32" spans="1:5" ht="14.4">
      <c r="A32" s="563" t="s">
        <v>480</v>
      </c>
      <c r="B32" s="564">
        <f>ROUND(SUMIF(可抵扣暂时性差异明细表!B:B,A32,可抵扣暂时性差异明细表!Q:Q),2)</f>
        <v>0</v>
      </c>
      <c r="C32" s="564">
        <f>ROUND(SUMIF(可抵扣暂时性差异明细表!B:B,A32,可抵扣暂时性差异明细表!T:T),2)</f>
        <v>0</v>
      </c>
      <c r="D32" s="564">
        <f>ROUND(SUMIF(可抵扣暂时性差异明细表!B:B,A32,可抵扣暂时性差异明细表!D:D),2)</f>
        <v>0</v>
      </c>
      <c r="E32" s="564">
        <f>ROUND(SUMIF(可抵扣暂时性差异明细表!B:B,A32,可抵扣暂时性差异明细表!S:S),2)</f>
        <v>0</v>
      </c>
    </row>
    <row r="33" spans="1:5" ht="14.4">
      <c r="A33" s="563" t="s">
        <v>3890</v>
      </c>
      <c r="B33" s="564">
        <f>ROUND(SUMIF(可抵扣暂时性差异明细表!B:B,A33,可抵扣暂时性差异明细表!Q:Q),2)</f>
        <v>0</v>
      </c>
      <c r="C33" s="564">
        <f>ROUND(SUMIF(可抵扣暂时性差异明细表!B:B,A33,可抵扣暂时性差异明细表!T:T),2)</f>
        <v>0</v>
      </c>
      <c r="D33" s="564">
        <f>ROUND(SUMIF(可抵扣暂时性差异明细表!B:B,A33,可抵扣暂时性差异明细表!D:D),2)</f>
        <v>0</v>
      </c>
      <c r="E33" s="564">
        <f>ROUND(SUMIF(可抵扣暂时性差异明细表!B:B,A33,可抵扣暂时性差异明细表!S:S),2)</f>
        <v>0</v>
      </c>
    </row>
    <row r="34" spans="1:5" ht="14.4">
      <c r="A34" s="563" t="s">
        <v>3889</v>
      </c>
      <c r="B34" s="564">
        <f>ROUND(SUMIF(可抵扣暂时性差异明细表!B:B,A34,可抵扣暂时性差异明细表!Q:Q),2)</f>
        <v>0</v>
      </c>
      <c r="C34" s="564">
        <f>ROUND(SUMIF(可抵扣暂时性差异明细表!B:B,A34,可抵扣暂时性差异明细表!T:T),2)</f>
        <v>0</v>
      </c>
      <c r="D34" s="564">
        <f>ROUND(SUMIF(可抵扣暂时性差异明细表!B:B,A34,可抵扣暂时性差异明细表!D:D),2)</f>
        <v>0</v>
      </c>
      <c r="E34" s="564">
        <f>ROUND(SUMIF(可抵扣暂时性差异明细表!B:B,A34,可抵扣暂时性差异明细表!S:S),2)</f>
        <v>0</v>
      </c>
    </row>
    <row r="35" spans="1:5" ht="14.4">
      <c r="A35" s="563" t="s">
        <v>3891</v>
      </c>
      <c r="B35" s="564">
        <f>ROUND(SUMIF(可抵扣暂时性差异明细表!B:B,A35,可抵扣暂时性差异明细表!Q:Q),2)</f>
        <v>0</v>
      </c>
      <c r="C35" s="564">
        <f>ROUND(SUMIF(可抵扣暂时性差异明细表!B:B,A35,可抵扣暂时性差异明细表!T:T),2)</f>
        <v>0</v>
      </c>
      <c r="D35" s="564">
        <f>ROUND(SUMIF(可抵扣暂时性差异明细表!B:B,A35,可抵扣暂时性差异明细表!D:D),2)</f>
        <v>0</v>
      </c>
      <c r="E35" s="564">
        <f>ROUND(SUMIF(可抵扣暂时性差异明细表!B:B,A35,可抵扣暂时性差异明细表!S:S),2)</f>
        <v>0</v>
      </c>
    </row>
    <row r="36" spans="1:5" ht="14.4">
      <c r="A36" s="563" t="s">
        <v>2232</v>
      </c>
      <c r="B36" s="564">
        <f>ROUND(SUMIF(可抵扣暂时性差异明细表!B:B,A36,可抵扣暂时性差异明细表!Q:Q),2)</f>
        <v>0</v>
      </c>
      <c r="C36" s="564">
        <f>ROUND(SUMIF(可抵扣暂时性差异明细表!B:B,A36,可抵扣暂时性差异明细表!T:T),2)</f>
        <v>0</v>
      </c>
      <c r="D36" s="564">
        <f>ROUND(SUMIF(可抵扣暂时性差异明细表!B:B,A36,可抵扣暂时性差异明细表!D:D),2)</f>
        <v>0</v>
      </c>
      <c r="E36" s="564">
        <f>ROUND(SUMIF(可抵扣暂时性差异明细表!B:B,A36,可抵扣暂时性差异明细表!S:S),2)</f>
        <v>0</v>
      </c>
    </row>
    <row r="37" spans="1:5" ht="14.4">
      <c r="A37" s="563" t="s">
        <v>1074</v>
      </c>
      <c r="B37" s="564">
        <f>ROUND(SUMIF(可抵扣暂时性差异明细表!B:B,A37,可抵扣暂时性差异明细表!Q:Q),2)</f>
        <v>0</v>
      </c>
      <c r="C37" s="564">
        <f>ROUND(SUMIF(可抵扣暂时性差异明细表!B:B,A37,可抵扣暂时性差异明细表!T:T),2)</f>
        <v>0</v>
      </c>
      <c r="D37" s="564">
        <f>ROUND(SUMIF(可抵扣暂时性差异明细表!B:B,A37,可抵扣暂时性差异明细表!D:D),2)</f>
        <v>0</v>
      </c>
      <c r="E37" s="564">
        <f>ROUND(SUMIF(可抵扣暂时性差异明细表!B:B,A37,可抵扣暂时性差异明细表!S:S),2)</f>
        <v>0</v>
      </c>
    </row>
    <row r="38" spans="1:5" ht="14.4">
      <c r="A38" s="563" t="s">
        <v>3892</v>
      </c>
      <c r="B38" s="564">
        <f>ROUND(SUMIF(可抵扣暂时性差异明细表!B:B,A38,可抵扣暂时性差异明细表!Q:Q),2)</f>
        <v>0</v>
      </c>
      <c r="C38" s="564">
        <f>ROUND(SUMIF(可抵扣暂时性差异明细表!B:B,A38,可抵扣暂时性差异明细表!T:T),2)</f>
        <v>0</v>
      </c>
      <c r="D38" s="564">
        <f>ROUND(SUMIF(可抵扣暂时性差异明细表!B:B,A38,可抵扣暂时性差异明细表!D:D),2)</f>
        <v>0</v>
      </c>
      <c r="E38" s="564">
        <f>ROUND(SUMIF(可抵扣暂时性差异明细表!B:B,A38,可抵扣暂时性差异明细表!S:S),2)</f>
        <v>0</v>
      </c>
    </row>
    <row r="39" spans="1:5" ht="14.4">
      <c r="A39" s="563"/>
      <c r="B39" s="564">
        <f>ROUND(SUMIF(可抵扣暂时性差异明细表!B:B,A39,可抵扣暂时性差异明细表!Q:Q),2)</f>
        <v>0</v>
      </c>
      <c r="C39" s="564">
        <f>ROUND(SUMIF(可抵扣暂时性差异明细表!B:B,A39,可抵扣暂时性差异明细表!T:T),2)</f>
        <v>0</v>
      </c>
      <c r="D39" s="564">
        <f>ROUND(SUMIF(可抵扣暂时性差异明细表!B:B,A39,可抵扣暂时性差异明细表!D:D),2)</f>
        <v>0</v>
      </c>
      <c r="E39" s="564">
        <f>ROUND(SUMIF(可抵扣暂时性差异明细表!B:B,A39,可抵扣暂时性差异明细表!S:S),2)</f>
        <v>0</v>
      </c>
    </row>
    <row r="40" spans="1:5" ht="14.4">
      <c r="A40" s="563"/>
      <c r="B40" s="564">
        <f>ROUND(SUMIF(可抵扣暂时性差异明细表!B:B,A40,可抵扣暂时性差异明细表!Q:Q),2)</f>
        <v>0</v>
      </c>
      <c r="C40" s="564">
        <f>ROUND(SUMIF(可抵扣暂时性差异明细表!B:B,A40,可抵扣暂时性差异明细表!T:T),2)</f>
        <v>0</v>
      </c>
      <c r="D40" s="564">
        <f>ROUND(SUMIF(可抵扣暂时性差异明细表!B:B,A40,可抵扣暂时性差异明细表!D:D),2)</f>
        <v>0</v>
      </c>
      <c r="E40" s="564">
        <f>ROUND(SUMIF(可抵扣暂时性差异明细表!B:B,A40,可抵扣暂时性差异明细表!S:S),2)</f>
        <v>0</v>
      </c>
    </row>
    <row r="41" spans="1:5" ht="14.4">
      <c r="A41" s="563"/>
      <c r="B41" s="564">
        <f>ROUND(SUMIF(可抵扣暂时性差异明细表!B:B,A41,可抵扣暂时性差异明细表!Q:Q),2)</f>
        <v>0</v>
      </c>
      <c r="C41" s="564">
        <f>ROUND(SUMIF(可抵扣暂时性差异明细表!B:B,A41,可抵扣暂时性差异明细表!T:T),2)</f>
        <v>0</v>
      </c>
      <c r="D41" s="564">
        <f>ROUND(SUMIF(可抵扣暂时性差异明细表!B:B,A41,可抵扣暂时性差异明细表!D:D),2)</f>
        <v>0</v>
      </c>
      <c r="E41" s="564">
        <f>ROUND(SUMIF(可抵扣暂时性差异明细表!B:B,A41,可抵扣暂时性差异明细表!S:S),2)</f>
        <v>0</v>
      </c>
    </row>
    <row r="42" spans="1:5" ht="14.4">
      <c r="A42" s="563"/>
      <c r="B42" s="564">
        <f>ROUND(SUMIF(可抵扣暂时性差异明细表!B:B,A42,可抵扣暂时性差异明细表!Q:Q),2)</f>
        <v>0</v>
      </c>
      <c r="C42" s="564">
        <f>ROUND(SUMIF(可抵扣暂时性差异明细表!B:B,A42,可抵扣暂时性差异明细表!T:T),2)</f>
        <v>0</v>
      </c>
      <c r="D42" s="564">
        <f>ROUND(SUMIF(可抵扣暂时性差异明细表!B:B,A42,可抵扣暂时性差异明细表!D:D),2)</f>
        <v>0</v>
      </c>
      <c r="E42" s="564">
        <f>ROUND(SUMIF(可抵扣暂时性差异明细表!B:B,A42,可抵扣暂时性差异明细表!S:S),2)</f>
        <v>0</v>
      </c>
    </row>
    <row r="43" spans="1:5" ht="14.4">
      <c r="A43" s="563"/>
      <c r="B43" s="564">
        <f>ROUND(SUMIF(可抵扣暂时性差异明细表!B:B,A43,可抵扣暂时性差异明细表!Q:Q),2)</f>
        <v>0</v>
      </c>
      <c r="C43" s="564">
        <f>ROUND(SUMIF(可抵扣暂时性差异明细表!B:B,A43,可抵扣暂时性差异明细表!T:T),2)</f>
        <v>0</v>
      </c>
      <c r="D43" s="564">
        <f>ROUND(SUMIF(可抵扣暂时性差异明细表!B:B,A43,可抵扣暂时性差异明细表!D:D),2)</f>
        <v>0</v>
      </c>
      <c r="E43" s="564">
        <f>ROUND(SUMIF(可抵扣暂时性差异明细表!B:B,A43,可抵扣暂时性差异明细表!S:S),2)</f>
        <v>0</v>
      </c>
    </row>
    <row r="44" spans="1:5" ht="14.4">
      <c r="A44" s="563"/>
      <c r="B44" s="564">
        <f>ROUND(SUMIF(可抵扣暂时性差异明细表!B:B,A44,可抵扣暂时性差异明细表!Q:Q),2)</f>
        <v>0</v>
      </c>
      <c r="C44" s="564">
        <f>ROUND(SUMIF(可抵扣暂时性差异明细表!B:B,A44,可抵扣暂时性差异明细表!T:T),2)</f>
        <v>0</v>
      </c>
      <c r="D44" s="564">
        <f>ROUND(SUMIF(可抵扣暂时性差异明细表!B:B,A44,可抵扣暂时性差异明细表!D:D),2)</f>
        <v>0</v>
      </c>
      <c r="E44" s="564">
        <f>ROUND(SUMIF(可抵扣暂时性差异明细表!B:B,A44,可抵扣暂时性差异明细表!S:S),2)</f>
        <v>0</v>
      </c>
    </row>
    <row r="45" spans="1:5" ht="14.4">
      <c r="A45" s="563"/>
      <c r="B45" s="564"/>
      <c r="C45" s="564"/>
      <c r="D45" s="564"/>
      <c r="E45" s="564"/>
    </row>
    <row r="46" spans="1:5" ht="14.4">
      <c r="A46" s="563"/>
      <c r="B46" s="564"/>
      <c r="C46" s="564"/>
      <c r="D46" s="564"/>
      <c r="E46" s="564"/>
    </row>
    <row r="47" spans="1:5" ht="14.4">
      <c r="A47" s="563"/>
      <c r="B47" s="564"/>
      <c r="C47" s="564"/>
      <c r="D47" s="564"/>
      <c r="E47" s="564"/>
    </row>
    <row r="48" spans="1:5" ht="14.4">
      <c r="A48" s="563"/>
      <c r="B48" s="564"/>
      <c r="C48" s="564"/>
      <c r="D48" s="564"/>
      <c r="E48" s="564"/>
    </row>
    <row r="49" spans="1:5" ht="14.4">
      <c r="A49" s="563"/>
      <c r="B49" s="564"/>
      <c r="C49" s="564"/>
      <c r="D49" s="564"/>
      <c r="E49" s="564"/>
    </row>
    <row r="50" spans="1:5" ht="14.4">
      <c r="A50" s="563"/>
      <c r="B50" s="564"/>
      <c r="C50" s="564"/>
      <c r="D50" s="564"/>
      <c r="E50" s="564"/>
    </row>
    <row r="51" spans="1:5" ht="14.4">
      <c r="A51" s="563"/>
      <c r="B51" s="564"/>
      <c r="C51" s="564"/>
      <c r="D51" s="564"/>
      <c r="E51" s="564"/>
    </row>
    <row r="52" spans="1:5" ht="14.4">
      <c r="A52" s="563"/>
      <c r="B52" s="564"/>
      <c r="C52" s="564"/>
      <c r="D52" s="564"/>
      <c r="E52" s="564"/>
    </row>
    <row r="53" spans="1:5" ht="14.4">
      <c r="A53" s="19" t="s">
        <v>204</v>
      </c>
      <c r="B53" s="631">
        <f>ROUND(SUM(B2:B52),2)</f>
        <v>0</v>
      </c>
      <c r="C53" s="631">
        <f>ROUND(SUM(C2:C52),2)</f>
        <v>0</v>
      </c>
      <c r="D53" s="631">
        <f>ROUND(SUM(D2:D52),2)</f>
        <v>0</v>
      </c>
      <c r="E53" s="631">
        <f>ROUND(SUM(E2:E52),2)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054E77-406D-4294-9E45-851C5DAF53C4}">
          <x14:formula1>
            <xm:f>分类表!$108:$108</xm:f>
          </x14:formula1>
          <xm:sqref>A2:A52</xm:sqref>
        </x14:dataValidation>
      </x14:dataValidations>
    </ext>
  </extLst>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codeName="Sheet238">
    <tabColor rgb="FFFFC000"/>
  </sheetPr>
  <dimension ref="A1:E25"/>
  <sheetViews>
    <sheetView topLeftCell="A10" workbookViewId="0">
      <selection activeCell="B25" sqref="B25"/>
    </sheetView>
  </sheetViews>
  <sheetFormatPr defaultRowHeight="13.8"/>
  <cols>
    <col min="1" max="1" width="70.5546875" style="18" customWidth="1"/>
    <col min="2" max="2" width="9.5546875" style="18" bestFit="1" customWidth="1"/>
    <col min="3" max="3" width="7.5546875" style="18" bestFit="1" customWidth="1"/>
    <col min="4" max="4" width="9.5546875" style="18" bestFit="1" customWidth="1"/>
    <col min="5" max="5" width="7.5546875" style="18" bestFit="1" customWidth="1"/>
    <col min="6" max="16384" width="8.88671875" style="18"/>
  </cols>
  <sheetData>
    <row r="1" spans="1:5" ht="43.2">
      <c r="A1" s="32" t="s">
        <v>28</v>
      </c>
      <c r="B1" s="32" t="s">
        <v>485</v>
      </c>
      <c r="C1" s="32" t="s">
        <v>486</v>
      </c>
      <c r="D1" s="32" t="s">
        <v>487</v>
      </c>
      <c r="E1" s="32" t="s">
        <v>488</v>
      </c>
    </row>
    <row r="2" spans="1:5" ht="14.4">
      <c r="A2" s="563" t="s">
        <v>3893</v>
      </c>
      <c r="B2" s="564">
        <f>ROUND(SUMIF(应纳税暂时性差异明细表!B:B,A2,应纳税暂时性差异明细表!Q:Q),2)</f>
        <v>0</v>
      </c>
      <c r="C2" s="564">
        <f>ROUND(SUMIF(应纳税暂时性差异明细表!B:B,A2,应纳税暂时性差异明细表!T:T),2)</f>
        <v>0</v>
      </c>
      <c r="D2" s="564">
        <f>ROUND(SUMIF(应纳税暂时性差异明细表!B:B,A2,应纳税暂时性差异明细表!D:D),2)</f>
        <v>0</v>
      </c>
      <c r="E2" s="564">
        <f>ROUND(SUMIF(应纳税暂时性差异明细表!B:B,A2,应纳税暂时性差异明细表!S:S),2)</f>
        <v>0</v>
      </c>
    </row>
    <row r="3" spans="1:5" ht="14.4">
      <c r="A3" s="563" t="s">
        <v>3894</v>
      </c>
      <c r="B3" s="564">
        <f>ROUND(SUMIF(应纳税暂时性差异明细表!B:B,A3,应纳税暂时性差异明细表!Q:Q),2)</f>
        <v>0</v>
      </c>
      <c r="C3" s="564">
        <f>ROUND(SUMIF(应纳税暂时性差异明细表!B:B,A3,应纳税暂时性差异明细表!T:T),2)</f>
        <v>0</v>
      </c>
      <c r="D3" s="564">
        <f>ROUND(SUMIF(应纳税暂时性差异明细表!B:B,A3,应纳税暂时性差异明细表!D:D),2)</f>
        <v>0</v>
      </c>
      <c r="E3" s="564">
        <f>ROUND(SUMIF(应纳税暂时性差异明细表!B:B,A3,应纳税暂时性差异明细表!S:S),2)</f>
        <v>0</v>
      </c>
    </row>
    <row r="4" spans="1:5" ht="14.4">
      <c r="A4" s="563" t="s">
        <v>3895</v>
      </c>
      <c r="B4" s="564">
        <f>ROUND(SUMIF(应纳税暂时性差异明细表!B:B,A4,应纳税暂时性差异明细表!Q:Q),2)</f>
        <v>0</v>
      </c>
      <c r="C4" s="564">
        <f>ROUND(SUMIF(应纳税暂时性差异明细表!B:B,A4,应纳税暂时性差异明细表!T:T),2)</f>
        <v>0</v>
      </c>
      <c r="D4" s="564">
        <f>ROUND(SUMIF(应纳税暂时性差异明细表!B:B,A4,应纳税暂时性差异明细表!D:D),2)</f>
        <v>0</v>
      </c>
      <c r="E4" s="564">
        <f>ROUND(SUMIF(应纳税暂时性差异明细表!B:B,A4,应纳税暂时性差异明细表!S:S),2)</f>
        <v>0</v>
      </c>
    </row>
    <row r="5" spans="1:5" ht="14.4">
      <c r="A5" s="563" t="s">
        <v>3896</v>
      </c>
      <c r="B5" s="564">
        <f>ROUND(SUMIF(应纳税暂时性差异明细表!B:B,A5,应纳税暂时性差异明细表!Q:Q),2)</f>
        <v>0</v>
      </c>
      <c r="C5" s="564">
        <f>ROUND(SUMIF(应纳税暂时性差异明细表!B:B,A5,应纳税暂时性差异明细表!T:T),2)</f>
        <v>0</v>
      </c>
      <c r="D5" s="564">
        <f>ROUND(SUMIF(应纳税暂时性差异明细表!B:B,A5,应纳税暂时性差异明细表!D:D),2)</f>
        <v>0</v>
      </c>
      <c r="E5" s="564">
        <f>ROUND(SUMIF(应纳税暂时性差异明细表!B:B,A5,应纳税暂时性差异明细表!S:S),2)</f>
        <v>0</v>
      </c>
    </row>
    <row r="6" spans="1:5" ht="14.4">
      <c r="A6" s="563" t="s">
        <v>3897</v>
      </c>
      <c r="B6" s="564">
        <f>ROUND(SUMIF(应纳税暂时性差异明细表!B:B,A6,应纳税暂时性差异明细表!Q:Q),2)</f>
        <v>0</v>
      </c>
      <c r="C6" s="564">
        <f>ROUND(SUMIF(应纳税暂时性差异明细表!B:B,A6,应纳税暂时性差异明细表!T:T),2)</f>
        <v>0</v>
      </c>
      <c r="D6" s="564">
        <f>ROUND(SUMIF(应纳税暂时性差异明细表!B:B,A6,应纳税暂时性差异明细表!D:D),2)</f>
        <v>0</v>
      </c>
      <c r="E6" s="564">
        <f>ROUND(SUMIF(应纳税暂时性差异明细表!B:B,A6,应纳税暂时性差异明细表!S:S),2)</f>
        <v>0</v>
      </c>
    </row>
    <row r="7" spans="1:5" ht="14.4">
      <c r="A7" s="563" t="s">
        <v>3898</v>
      </c>
      <c r="B7" s="564">
        <f>ROUND(SUMIF(应纳税暂时性差异明细表!B:B,A7,应纳税暂时性差异明细表!Q:Q),2)</f>
        <v>0</v>
      </c>
      <c r="C7" s="564">
        <f>ROUND(SUMIF(应纳税暂时性差异明细表!B:B,A7,应纳税暂时性差异明细表!T:T),2)</f>
        <v>0</v>
      </c>
      <c r="D7" s="564">
        <f>ROUND(SUMIF(应纳税暂时性差异明细表!B:B,A7,应纳税暂时性差异明细表!D:D),2)</f>
        <v>0</v>
      </c>
      <c r="E7" s="564">
        <f>ROUND(SUMIF(应纳税暂时性差异明细表!B:B,A7,应纳税暂时性差异明细表!S:S),2)</f>
        <v>0</v>
      </c>
    </row>
    <row r="8" spans="1:5" ht="14.4">
      <c r="A8" s="563" t="s">
        <v>3583</v>
      </c>
      <c r="B8" s="564">
        <f>ROUND(SUMIF(应纳税暂时性差异明细表!B:B,A8,应纳税暂时性差异明细表!Q:Q),2)</f>
        <v>0</v>
      </c>
      <c r="C8" s="564">
        <f>ROUND(SUMIF(应纳税暂时性差异明细表!B:B,A8,应纳税暂时性差异明细表!T:T),2)</f>
        <v>0</v>
      </c>
      <c r="D8" s="564">
        <f>ROUND(SUMIF(应纳税暂时性差异明细表!B:B,A8,应纳税暂时性差异明细表!D:D),2)</f>
        <v>0</v>
      </c>
      <c r="E8" s="564">
        <f>ROUND(SUMIF(应纳税暂时性差异明细表!B:B,A8,应纳税暂时性差异明细表!S:S),2)</f>
        <v>0</v>
      </c>
    </row>
    <row r="9" spans="1:5" ht="14.4">
      <c r="A9" s="563" t="s">
        <v>3584</v>
      </c>
      <c r="B9" s="564">
        <f>ROUND(SUMIF(应纳税暂时性差异明细表!B:B,A9,应纳税暂时性差异明细表!Q:Q),2)</f>
        <v>0</v>
      </c>
      <c r="C9" s="564">
        <f>ROUND(SUMIF(应纳税暂时性差异明细表!B:B,A9,应纳税暂时性差异明细表!T:T),2)</f>
        <v>0</v>
      </c>
      <c r="D9" s="564">
        <f>ROUND(SUMIF(应纳税暂时性差异明细表!B:B,A9,应纳税暂时性差异明细表!D:D),2)</f>
        <v>0</v>
      </c>
      <c r="E9" s="564">
        <f>ROUND(SUMIF(应纳税暂时性差异明细表!B:B,A9,应纳税暂时性差异明细表!S:S),2)</f>
        <v>0</v>
      </c>
    </row>
    <row r="10" spans="1:5" ht="14.4">
      <c r="A10" s="563" t="s">
        <v>3585</v>
      </c>
      <c r="B10" s="564">
        <f>ROUND(SUMIF(应纳税暂时性差异明细表!B:B,A10,应纳税暂时性差异明细表!Q:Q),2)</f>
        <v>0</v>
      </c>
      <c r="C10" s="564">
        <f>ROUND(SUMIF(应纳税暂时性差异明细表!B:B,A10,应纳税暂时性差异明细表!T:T),2)</f>
        <v>0</v>
      </c>
      <c r="D10" s="564">
        <f>ROUND(SUMIF(应纳税暂时性差异明细表!B:B,A10,应纳税暂时性差异明细表!D:D),2)</f>
        <v>0</v>
      </c>
      <c r="E10" s="564">
        <f>ROUND(SUMIF(应纳税暂时性差异明细表!B:B,A10,应纳税暂时性差异明细表!S:S),2)</f>
        <v>0</v>
      </c>
    </row>
    <row r="11" spans="1:5" ht="14.4">
      <c r="A11" s="563"/>
      <c r="B11" s="564">
        <f>ROUND(SUMIF(应纳税暂时性差异明细表!B:B,A11,应纳税暂时性差异明细表!Q:Q),2)</f>
        <v>0</v>
      </c>
      <c r="C11" s="564">
        <f>ROUND(SUMIF(应纳税暂时性差异明细表!B:B,A11,应纳税暂时性差异明细表!T:T),2)</f>
        <v>0</v>
      </c>
      <c r="D11" s="564">
        <f>ROUND(SUMIF(应纳税暂时性差异明细表!B:B,A11,应纳税暂时性差异明细表!D:D),2)</f>
        <v>0</v>
      </c>
      <c r="E11" s="564">
        <f>ROUND(SUMIF(应纳税暂时性差异明细表!B:B,A11,应纳税暂时性差异明细表!S:S),2)</f>
        <v>0</v>
      </c>
    </row>
    <row r="12" spans="1:5" ht="14.4">
      <c r="A12" s="563"/>
      <c r="B12" s="564">
        <f>ROUND(SUMIF(应纳税暂时性差异明细表!B:B,A12,应纳税暂时性差异明细表!Q:Q),2)</f>
        <v>0</v>
      </c>
      <c r="C12" s="564">
        <f>ROUND(SUMIF(应纳税暂时性差异明细表!B:B,A12,应纳税暂时性差异明细表!T:T),2)</f>
        <v>0</v>
      </c>
      <c r="D12" s="564">
        <f>ROUND(SUMIF(应纳税暂时性差异明细表!B:B,A12,应纳税暂时性差异明细表!D:D),2)</f>
        <v>0</v>
      </c>
      <c r="E12" s="564">
        <f>ROUND(SUMIF(应纳税暂时性差异明细表!B:B,A12,应纳税暂时性差异明细表!S:S),2)</f>
        <v>0</v>
      </c>
    </row>
    <row r="13" spans="1:5" ht="14.4">
      <c r="A13" s="563"/>
      <c r="B13" s="564">
        <f>ROUND(SUMIF(应纳税暂时性差异明细表!B:B,A13,应纳税暂时性差异明细表!Q:Q),2)</f>
        <v>0</v>
      </c>
      <c r="C13" s="564">
        <f>ROUND(SUMIF(应纳税暂时性差异明细表!B:B,A13,应纳税暂时性差异明细表!T:T),2)</f>
        <v>0</v>
      </c>
      <c r="D13" s="564">
        <f>ROUND(SUMIF(应纳税暂时性差异明细表!B:B,A13,应纳税暂时性差异明细表!D:D),2)</f>
        <v>0</v>
      </c>
      <c r="E13" s="564">
        <f>ROUND(SUMIF(应纳税暂时性差异明细表!B:B,A13,应纳税暂时性差异明细表!S:S),2)</f>
        <v>0</v>
      </c>
    </row>
    <row r="14" spans="1:5" ht="14.4">
      <c r="A14" s="563"/>
      <c r="B14" s="564">
        <f>ROUND(SUMIF(应纳税暂时性差异明细表!B:B,A14,应纳税暂时性差异明细表!Q:Q),2)</f>
        <v>0</v>
      </c>
      <c r="C14" s="564">
        <f>ROUND(SUMIF(应纳税暂时性差异明细表!B:B,A14,应纳税暂时性差异明细表!T:T),2)</f>
        <v>0</v>
      </c>
      <c r="D14" s="564">
        <f>ROUND(SUMIF(应纳税暂时性差异明细表!B:B,A14,应纳税暂时性差异明细表!D:D),2)</f>
        <v>0</v>
      </c>
      <c r="E14" s="564">
        <f>ROUND(SUMIF(应纳税暂时性差异明细表!B:B,A14,应纳税暂时性差异明细表!S:S),2)</f>
        <v>0</v>
      </c>
    </row>
    <row r="15" spans="1:5" ht="14.4">
      <c r="A15" s="563"/>
      <c r="B15" s="564">
        <f>ROUND(SUMIF(应纳税暂时性差异明细表!B:B,A15,应纳税暂时性差异明细表!Q:Q),2)</f>
        <v>0</v>
      </c>
      <c r="C15" s="564">
        <f>ROUND(SUMIF(应纳税暂时性差异明细表!B:B,A15,应纳税暂时性差异明细表!T:T),2)</f>
        <v>0</v>
      </c>
      <c r="D15" s="564">
        <f>ROUND(SUMIF(应纳税暂时性差异明细表!B:B,A15,应纳税暂时性差异明细表!D:D),2)</f>
        <v>0</v>
      </c>
      <c r="E15" s="564">
        <f>ROUND(SUMIF(应纳税暂时性差异明细表!B:B,A15,应纳税暂时性差异明细表!S:S),2)</f>
        <v>0</v>
      </c>
    </row>
    <row r="16" spans="1:5" ht="14.4">
      <c r="A16" s="563"/>
      <c r="B16" s="564">
        <f>ROUND(SUMIF(应纳税暂时性差异明细表!B:B,A16,应纳税暂时性差异明细表!Q:Q),2)</f>
        <v>0</v>
      </c>
      <c r="C16" s="564">
        <f>ROUND(SUMIF(应纳税暂时性差异明细表!B:B,A16,应纳税暂时性差异明细表!T:T),2)</f>
        <v>0</v>
      </c>
      <c r="D16" s="564">
        <f>ROUND(SUMIF(应纳税暂时性差异明细表!B:B,A16,应纳税暂时性差异明细表!D:D),2)</f>
        <v>0</v>
      </c>
      <c r="E16" s="564">
        <f>ROUND(SUMIF(应纳税暂时性差异明细表!B:B,A16,应纳税暂时性差异明细表!S:S),2)</f>
        <v>0</v>
      </c>
    </row>
    <row r="17" spans="1:5" ht="14.4">
      <c r="A17" s="563"/>
      <c r="B17" s="564">
        <f>ROUND(SUMIF(应纳税暂时性差异明细表!B:B,A17,应纳税暂时性差异明细表!Q:Q),2)</f>
        <v>0</v>
      </c>
      <c r="C17" s="564">
        <f>ROUND(SUMIF(应纳税暂时性差异明细表!B:B,A17,应纳税暂时性差异明细表!T:T),2)</f>
        <v>0</v>
      </c>
      <c r="D17" s="564">
        <f>ROUND(SUMIF(应纳税暂时性差异明细表!B:B,A17,应纳税暂时性差异明细表!D:D),2)</f>
        <v>0</v>
      </c>
      <c r="E17" s="564">
        <f>ROUND(SUMIF(应纳税暂时性差异明细表!B:B,A17,应纳税暂时性差异明细表!S:S),2)</f>
        <v>0</v>
      </c>
    </row>
    <row r="18" spans="1:5" ht="14.4">
      <c r="A18" s="563"/>
      <c r="B18" s="564">
        <f>ROUND(SUMIF(应纳税暂时性差异明细表!B:B,A18,应纳税暂时性差异明细表!Q:Q),2)</f>
        <v>0</v>
      </c>
      <c r="C18" s="564">
        <f>ROUND(SUMIF(应纳税暂时性差异明细表!B:B,A18,应纳税暂时性差异明细表!T:T),2)</f>
        <v>0</v>
      </c>
      <c r="D18" s="564">
        <f>ROUND(SUMIF(应纳税暂时性差异明细表!B:B,A18,应纳税暂时性差异明细表!D:D),2)</f>
        <v>0</v>
      </c>
      <c r="E18" s="564">
        <f>ROUND(SUMIF(应纳税暂时性差异明细表!B:B,A18,应纳税暂时性差异明细表!S:S),2)</f>
        <v>0</v>
      </c>
    </row>
    <row r="19" spans="1:5" ht="14.4">
      <c r="A19" s="563"/>
      <c r="B19" s="564">
        <f>ROUND(SUMIF(应纳税暂时性差异明细表!B:B,A19,应纳税暂时性差异明细表!Q:Q),2)</f>
        <v>0</v>
      </c>
      <c r="C19" s="564">
        <f>ROUND(SUMIF(应纳税暂时性差异明细表!B:B,A19,应纳税暂时性差异明细表!T:T),2)</f>
        <v>0</v>
      </c>
      <c r="D19" s="564">
        <f>ROUND(SUMIF(应纳税暂时性差异明细表!B:B,A19,应纳税暂时性差异明细表!D:D),2)</f>
        <v>0</v>
      </c>
      <c r="E19" s="564">
        <f>ROUND(SUMIF(应纳税暂时性差异明细表!B:B,A19,应纳税暂时性差异明细表!S:S),2)</f>
        <v>0</v>
      </c>
    </row>
    <row r="20" spans="1:5" ht="14.4">
      <c r="A20" s="563"/>
      <c r="B20" s="564">
        <f>ROUND(SUMIF(应纳税暂时性差异明细表!B:B,A20,应纳税暂时性差异明细表!Q:Q),2)</f>
        <v>0</v>
      </c>
      <c r="C20" s="564">
        <f>ROUND(SUMIF(应纳税暂时性差异明细表!B:B,A20,应纳税暂时性差异明细表!T:T),2)</f>
        <v>0</v>
      </c>
      <c r="D20" s="564">
        <f>ROUND(SUMIF(应纳税暂时性差异明细表!B:B,A20,应纳税暂时性差异明细表!D:D),2)</f>
        <v>0</v>
      </c>
      <c r="E20" s="564">
        <f>ROUND(SUMIF(应纳税暂时性差异明细表!B:B,A20,应纳税暂时性差异明细表!S:S),2)</f>
        <v>0</v>
      </c>
    </row>
    <row r="21" spans="1:5" ht="14.4">
      <c r="A21" s="563"/>
      <c r="B21" s="564">
        <f>ROUND(SUMIF(应纳税暂时性差异明细表!B:B,A21,应纳税暂时性差异明细表!Q:Q),2)</f>
        <v>0</v>
      </c>
      <c r="C21" s="564">
        <f>ROUND(SUMIF(应纳税暂时性差异明细表!B:B,A21,应纳税暂时性差异明细表!T:T),2)</f>
        <v>0</v>
      </c>
      <c r="D21" s="564">
        <f>ROUND(SUMIF(应纳税暂时性差异明细表!B:B,A21,应纳税暂时性差异明细表!D:D),2)</f>
        <v>0</v>
      </c>
      <c r="E21" s="564">
        <f>ROUND(SUMIF(应纳税暂时性差异明细表!B:B,A21,应纳税暂时性差异明细表!S:S),2)</f>
        <v>0</v>
      </c>
    </row>
    <row r="22" spans="1:5" ht="14.4">
      <c r="A22" s="563"/>
      <c r="B22" s="564">
        <f>ROUND(SUMIF(应纳税暂时性差异明细表!B:B,A22,应纳税暂时性差异明细表!Q:Q),2)</f>
        <v>0</v>
      </c>
      <c r="C22" s="564">
        <f>ROUND(SUMIF(应纳税暂时性差异明细表!B:B,A22,应纳税暂时性差异明细表!T:T),2)</f>
        <v>0</v>
      </c>
      <c r="D22" s="564">
        <f>ROUND(SUMIF(应纳税暂时性差异明细表!B:B,A22,应纳税暂时性差异明细表!D:D),2)</f>
        <v>0</v>
      </c>
      <c r="E22" s="564">
        <f>ROUND(SUMIF(应纳税暂时性差异明细表!B:B,A22,应纳税暂时性差异明细表!S:S),2)</f>
        <v>0</v>
      </c>
    </row>
    <row r="23" spans="1:5" ht="14.4">
      <c r="A23" s="563"/>
      <c r="B23" s="564">
        <f>ROUND(SUMIF(应纳税暂时性差异明细表!B:B,A23,应纳税暂时性差异明细表!Q:Q),2)</f>
        <v>0</v>
      </c>
      <c r="C23" s="564">
        <f>ROUND(SUMIF(应纳税暂时性差异明细表!B:B,A23,应纳税暂时性差异明细表!T:T),2)</f>
        <v>0</v>
      </c>
      <c r="D23" s="564">
        <f>ROUND(SUMIF(应纳税暂时性差异明细表!B:B,A23,应纳税暂时性差异明细表!D:D),2)</f>
        <v>0</v>
      </c>
      <c r="E23" s="564">
        <f>ROUND(SUMIF(应纳税暂时性差异明细表!B:B,A23,应纳税暂时性差异明细表!S:S),2)</f>
        <v>0</v>
      </c>
    </row>
    <row r="24" spans="1:5" ht="14.4">
      <c r="A24" s="563"/>
      <c r="B24" s="564">
        <f>ROUND(SUMIF(应纳税暂时性差异明细表!B:B,A24,应纳税暂时性差异明细表!Q:Q),2)</f>
        <v>0</v>
      </c>
      <c r="C24" s="564">
        <f>ROUND(SUMIF(应纳税暂时性差异明细表!B:B,A24,应纳税暂时性差异明细表!T:T),2)</f>
        <v>0</v>
      </c>
      <c r="D24" s="564">
        <f>ROUND(SUMIF(应纳税暂时性差异明细表!B:B,A24,应纳税暂时性差异明细表!D:D),2)</f>
        <v>0</v>
      </c>
      <c r="E24" s="564">
        <f>ROUND(SUMIF(应纳税暂时性差异明细表!B:B,A24,应纳税暂时性差异明细表!S:S),2)</f>
        <v>0</v>
      </c>
    </row>
    <row r="25" spans="1:5" ht="14.4">
      <c r="A25" s="19" t="s">
        <v>204</v>
      </c>
      <c r="B25" s="631">
        <f>ROUND(SUM(B2:B24),2)</f>
        <v>0</v>
      </c>
      <c r="C25" s="631">
        <f>ROUND(SUM(C2:C24),2)</f>
        <v>0</v>
      </c>
      <c r="D25" s="631">
        <f>ROUND(SUM(D2:D24),2)</f>
        <v>0</v>
      </c>
      <c r="E25" s="631">
        <f>ROUND(SUM(E2:E24),2)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82E70C-B9DA-4B98-9D03-3140519A8E4D}">
          <x14:formula1>
            <xm:f>分类表!$109:$109</xm:f>
          </x14:formula1>
          <xm:sqref>A2:A24</xm:sqref>
        </x14:dataValidation>
      </x14:dataValidations>
    </ext>
  </extLst>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codeName="Sheet239">
    <tabColor rgb="FFFFC000"/>
  </sheetPr>
  <dimension ref="A1:C4"/>
  <sheetViews>
    <sheetView workbookViewId="0">
      <selection activeCell="F29" sqref="F29"/>
    </sheetView>
  </sheetViews>
  <sheetFormatPr defaultRowHeight="13.8"/>
  <cols>
    <col min="1" max="1" width="18.109375" style="18" customWidth="1"/>
    <col min="2" max="2" width="16.6640625" style="18" customWidth="1"/>
    <col min="3" max="3" width="19.77734375" style="18" customWidth="1"/>
    <col min="4" max="16384" width="8.88671875" style="18"/>
  </cols>
  <sheetData>
    <row r="1" spans="1:3" ht="14.4">
      <c r="A1" s="31" t="s">
        <v>28</v>
      </c>
      <c r="B1" s="20" t="s">
        <v>203</v>
      </c>
      <c r="C1" s="20" t="s">
        <v>265</v>
      </c>
    </row>
    <row r="2" spans="1:3" ht="14.4">
      <c r="A2" s="32" t="s">
        <v>489</v>
      </c>
      <c r="B2" s="293">
        <f>ROUND(SUM(可抵扣暂时性差异明细表!R:R)-B3,2)</f>
        <v>0</v>
      </c>
      <c r="C2" s="293">
        <f>ROUND(SUM(可抵扣暂时性差异明细表!E:E)-C3,2)</f>
        <v>0</v>
      </c>
    </row>
    <row r="3" spans="1:3" ht="14.4">
      <c r="A3" s="32" t="s">
        <v>480</v>
      </c>
      <c r="B3" s="293">
        <f>ROUND(SUMIF(可抵扣暂时性差异明细表!B:B,A3,可抵扣暂时性差异明细表!R:R),2)</f>
        <v>0</v>
      </c>
      <c r="C3" s="293">
        <f>ROUND(SUMIF(可抵扣暂时性差异明细表!B:B,A3,可抵扣暂时性差异明细表!E:E),2)</f>
        <v>0</v>
      </c>
    </row>
    <row r="4" spans="1:3" ht="14.4">
      <c r="A4" s="31" t="s">
        <v>262</v>
      </c>
      <c r="B4" s="68">
        <f>ROUND(SUM(B2:B3),2)</f>
        <v>0</v>
      </c>
      <c r="C4" s="68">
        <f>ROUND(SUM(C2:C3),2)</f>
        <v>0</v>
      </c>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codeName="Sheet240">
    <tabColor rgb="FFFFC000"/>
  </sheetPr>
  <dimension ref="A1:D12"/>
  <sheetViews>
    <sheetView workbookViewId="0">
      <selection activeCell="E9" sqref="E9"/>
    </sheetView>
  </sheetViews>
  <sheetFormatPr defaultRowHeight="13.8"/>
  <cols>
    <col min="1" max="16384" width="8.88671875" style="18"/>
  </cols>
  <sheetData>
    <row r="1" spans="1:4" ht="14.4">
      <c r="A1" s="31" t="s">
        <v>3325</v>
      </c>
      <c r="B1" s="20" t="s">
        <v>203</v>
      </c>
      <c r="C1" s="20" t="s">
        <v>265</v>
      </c>
      <c r="D1" s="20" t="s">
        <v>438</v>
      </c>
    </row>
    <row r="2" spans="1:4" ht="14.4">
      <c r="A2" s="294">
        <f>可抵扣亏损!A2</f>
        <v>0</v>
      </c>
      <c r="B2" s="564">
        <f>可抵扣亏损!E2</f>
        <v>0</v>
      </c>
      <c r="C2" s="564">
        <f>可抵扣亏损!G2</f>
        <v>0</v>
      </c>
      <c r="D2" s="32"/>
    </row>
    <row r="3" spans="1:4" ht="14.4">
      <c r="A3" s="294">
        <f>可抵扣亏损!A3</f>
        <v>0</v>
      </c>
      <c r="B3" s="564">
        <f>可抵扣亏损!E3</f>
        <v>0</v>
      </c>
      <c r="C3" s="564">
        <f>可抵扣亏损!G3</f>
        <v>0</v>
      </c>
      <c r="D3" s="32"/>
    </row>
    <row r="4" spans="1:4" ht="14.4">
      <c r="A4" s="294">
        <f>可抵扣亏损!A4</f>
        <v>0</v>
      </c>
      <c r="B4" s="564">
        <f>可抵扣亏损!E4</f>
        <v>0</v>
      </c>
      <c r="C4" s="564">
        <f>可抵扣亏损!G4</f>
        <v>0</v>
      </c>
      <c r="D4" s="32"/>
    </row>
    <row r="5" spans="1:4" ht="14.4">
      <c r="A5" s="294">
        <f>可抵扣亏损!A5</f>
        <v>0</v>
      </c>
      <c r="B5" s="564">
        <f>可抵扣亏损!E5</f>
        <v>0</v>
      </c>
      <c r="C5" s="564">
        <f>可抵扣亏损!G5</f>
        <v>0</v>
      </c>
      <c r="D5" s="32"/>
    </row>
    <row r="6" spans="1:4" ht="14.4">
      <c r="A6" s="294">
        <f>可抵扣亏损!A6</f>
        <v>0</v>
      </c>
      <c r="B6" s="564">
        <f>可抵扣亏损!E6</f>
        <v>0</v>
      </c>
      <c r="C6" s="564">
        <f>可抵扣亏损!G6</f>
        <v>0</v>
      </c>
      <c r="D6" s="32"/>
    </row>
    <row r="7" spans="1:4" ht="14.4">
      <c r="A7" s="294">
        <f>可抵扣亏损!A7</f>
        <v>0</v>
      </c>
      <c r="B7" s="564">
        <f>可抵扣亏损!E7</f>
        <v>0</v>
      </c>
      <c r="C7" s="564">
        <f>可抵扣亏损!G7</f>
        <v>0</v>
      </c>
      <c r="D7" s="32"/>
    </row>
    <row r="8" spans="1:4" ht="14.4">
      <c r="A8" s="294">
        <f>可抵扣亏损!A8</f>
        <v>0</v>
      </c>
      <c r="B8" s="564">
        <f>可抵扣亏损!E8</f>
        <v>0</v>
      </c>
      <c r="C8" s="564">
        <f>可抵扣亏损!G8</f>
        <v>0</v>
      </c>
      <c r="D8" s="32"/>
    </row>
    <row r="9" spans="1:4" ht="14.4">
      <c r="A9" s="294">
        <f>可抵扣亏损!A9</f>
        <v>0</v>
      </c>
      <c r="B9" s="564">
        <f>可抵扣亏损!E9</f>
        <v>0</v>
      </c>
      <c r="C9" s="564">
        <f>可抵扣亏损!G9</f>
        <v>0</v>
      </c>
      <c r="D9" s="32"/>
    </row>
    <row r="10" spans="1:4" ht="14.4">
      <c r="A10" s="294">
        <f>可抵扣亏损!A10</f>
        <v>0</v>
      </c>
      <c r="B10" s="564">
        <f>可抵扣亏损!E10</f>
        <v>0</v>
      </c>
      <c r="C10" s="564">
        <f>可抵扣亏损!G10</f>
        <v>0</v>
      </c>
      <c r="D10" s="32"/>
    </row>
    <row r="11" spans="1:4" ht="14.4">
      <c r="A11" s="294">
        <f>可抵扣亏损!A11</f>
        <v>0</v>
      </c>
      <c r="B11" s="564">
        <f>可抵扣亏损!E11</f>
        <v>0</v>
      </c>
      <c r="C11" s="564">
        <f>可抵扣亏损!G11</f>
        <v>0</v>
      </c>
      <c r="D11" s="32"/>
    </row>
    <row r="12" spans="1:4" ht="14.4">
      <c r="A12" s="19" t="s">
        <v>262</v>
      </c>
      <c r="B12" s="25">
        <f>SUM(B2:B11)</f>
        <v>0</v>
      </c>
      <c r="C12" s="25">
        <f>SUM(C2:C11)</f>
        <v>0</v>
      </c>
      <c r="D12" s="32"/>
    </row>
  </sheetData>
  <phoneticPr fontId="1" type="noConversion"/>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codeName="Sheet241">
    <tabColor rgb="FFFFC000"/>
  </sheetPr>
  <dimension ref="A1:C8"/>
  <sheetViews>
    <sheetView workbookViewId="0">
      <selection activeCell="F13" sqref="F13"/>
    </sheetView>
  </sheetViews>
  <sheetFormatPr defaultRowHeight="13.8"/>
  <cols>
    <col min="1" max="1" width="19.44140625" style="18" customWidth="1"/>
    <col min="2" max="16384" width="8.88671875" style="18"/>
  </cols>
  <sheetData>
    <row r="1" spans="1:3" ht="14.4">
      <c r="A1" s="31" t="s">
        <v>28</v>
      </c>
      <c r="B1" s="20" t="s">
        <v>203</v>
      </c>
      <c r="C1" s="20" t="s">
        <v>265</v>
      </c>
    </row>
    <row r="2" spans="1:3" ht="14.4">
      <c r="A2" s="377" t="s">
        <v>3592</v>
      </c>
      <c r="B2" s="267">
        <f>ROUND(SUMIF(其他非流动资产明细表!C:C,其他非流动资产!A2,其他非流动资产明细表!H:H),2)</f>
        <v>0</v>
      </c>
      <c r="C2" s="267">
        <f>ROUND(SUMIF(其他非流动资产明细表!C:C,其他非流动资产!A2,其他非流动资产明细表!D:D),2)</f>
        <v>0</v>
      </c>
    </row>
    <row r="3" spans="1:3" ht="14.4">
      <c r="A3" s="377" t="s">
        <v>3593</v>
      </c>
      <c r="B3" s="267">
        <f>ROUND(SUMIF(其他非流动资产明细表!C:C,其他非流动资产!A3,其他非流动资产明细表!H:H),2)</f>
        <v>0</v>
      </c>
      <c r="C3" s="267">
        <f>ROUND(SUMIF(其他非流动资产明细表!C:C,其他非流动资产!A3,其他非流动资产明细表!D:D),2)</f>
        <v>0</v>
      </c>
    </row>
    <row r="4" spans="1:3" ht="14.4">
      <c r="A4" s="377"/>
      <c r="B4" s="267">
        <f>ROUND(SUMIF(其他非流动资产明细表!C:C,其他非流动资产!A4,其他非流动资产明细表!H:H),2)</f>
        <v>0</v>
      </c>
      <c r="C4" s="267">
        <f>ROUND(SUMIF(其他非流动资产明细表!C:C,其他非流动资产!A4,其他非流动资产明细表!D:D),2)</f>
        <v>0</v>
      </c>
    </row>
    <row r="5" spans="1:3" ht="14.4">
      <c r="A5" s="377"/>
      <c r="B5" s="267">
        <f>ROUND(SUMIF(其他非流动资产明细表!C:C,其他非流动资产!A5,其他非流动资产明细表!H:H),2)</f>
        <v>0</v>
      </c>
      <c r="C5" s="267">
        <f>ROUND(SUMIF(其他非流动资产明细表!C:C,其他非流动资产!A5,其他非流动资产明细表!D:D),2)</f>
        <v>0</v>
      </c>
    </row>
    <row r="6" spans="1:3" ht="14.4">
      <c r="A6" s="377"/>
      <c r="B6" s="267">
        <f>ROUND(SUMIF(其他非流动资产明细表!C:C,其他非流动资产!A6,其他非流动资产明细表!H:H),2)</f>
        <v>0</v>
      </c>
      <c r="C6" s="267">
        <f>ROUND(SUMIF(其他非流动资产明细表!C:C,其他非流动资产!A6,其他非流动资产明细表!D:D),2)</f>
        <v>0</v>
      </c>
    </row>
    <row r="7" spans="1:3" ht="14.4">
      <c r="A7" s="377"/>
      <c r="B7" s="267">
        <f>ROUND(SUMIF(其他非流动资产明细表!C:C,其他非流动资产!A7,其他非流动资产明细表!H:H),2)</f>
        <v>0</v>
      </c>
      <c r="C7" s="267">
        <f>ROUND(SUMIF(其他非流动资产明细表!C:C,其他非流动资产!A7,其他非流动资产明细表!D:D),2)</f>
        <v>0</v>
      </c>
    </row>
    <row r="8" spans="1:3" ht="14.4">
      <c r="A8" s="31" t="s">
        <v>204</v>
      </c>
      <c r="B8" s="68">
        <f>ROUND(SUM(B2:B7),2)</f>
        <v>0</v>
      </c>
      <c r="C8" s="68">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5B663E-8AA1-4438-80DC-3C43744DEDB0}">
          <x14:formula1>
            <xm:f>分类表!$31:$31</xm:f>
          </x14:formula1>
          <xm:sqref>A2:A7</xm:sqref>
        </x14:dataValidation>
      </x14:dataValidations>
    </ext>
  </extLst>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7CA4-2DE7-4C7F-B0A8-EFB6DEAFA57E}">
  <sheetPr codeName="Sheet242"/>
  <dimension ref="A1:H23"/>
  <sheetViews>
    <sheetView workbookViewId="0">
      <selection activeCell="F29" sqref="F29"/>
    </sheetView>
  </sheetViews>
  <sheetFormatPr defaultRowHeight="13.8"/>
  <cols>
    <col min="1" max="1" width="13.88671875" bestFit="1" customWidth="1"/>
    <col min="2" max="2" width="9.5546875" bestFit="1" customWidth="1"/>
    <col min="3" max="3" width="22.6640625" bestFit="1" customWidth="1"/>
    <col min="4" max="4" width="7.5546875" bestFit="1" customWidth="1"/>
    <col min="5" max="5" width="35.88671875" bestFit="1" customWidth="1"/>
    <col min="6" max="7" width="9.5546875" bestFit="1" customWidth="1"/>
    <col min="8" max="8" width="7.5546875" style="229" bestFit="1" customWidth="1"/>
  </cols>
  <sheetData>
    <row r="1" spans="1:8">
      <c r="A1" t="s">
        <v>2383</v>
      </c>
      <c r="B1" t="s">
        <v>3590</v>
      </c>
      <c r="C1" s="236" t="s">
        <v>3398</v>
      </c>
      <c r="D1" t="s">
        <v>265</v>
      </c>
      <c r="E1" t="s">
        <v>3591</v>
      </c>
      <c r="F1" t="s">
        <v>359</v>
      </c>
      <c r="G1" t="s">
        <v>477</v>
      </c>
      <c r="H1" s="229" t="s">
        <v>203</v>
      </c>
    </row>
    <row r="2" spans="1:8">
      <c r="A2" t="str">
        <f>IF(OR(D2&gt;0,H2&gt;0),基础信息!B1,"")</f>
        <v/>
      </c>
      <c r="B2" s="255"/>
      <c r="C2" s="276"/>
      <c r="D2" s="255"/>
      <c r="E2" s="255"/>
      <c r="F2" s="255"/>
      <c r="G2" s="255"/>
      <c r="H2" s="229">
        <f>D2+E2+F2-G2</f>
        <v>0</v>
      </c>
    </row>
    <row r="3" spans="1:8">
      <c r="A3" t="str">
        <f>IF(OR(D3&gt;0,H3&gt;0),基础信息!B2,"")</f>
        <v/>
      </c>
      <c r="B3" s="255"/>
      <c r="C3" s="276"/>
      <c r="D3" s="255"/>
      <c r="E3" s="255"/>
      <c r="F3" s="255"/>
      <c r="G3" s="255"/>
      <c r="H3" s="229">
        <f>D3+E3+F3-G3</f>
        <v>0</v>
      </c>
    </row>
    <row r="4" spans="1:8">
      <c r="A4" t="str">
        <f>IF(OR(D4&gt;0,H4&gt;0),基础信息!B3,"")</f>
        <v/>
      </c>
      <c r="B4" s="255"/>
      <c r="C4" s="276"/>
      <c r="D4" s="255"/>
      <c r="E4" s="255"/>
      <c r="F4" s="255"/>
      <c r="G4" s="255"/>
      <c r="H4" s="229">
        <f>D4+E4+F4-G4</f>
        <v>0</v>
      </c>
    </row>
    <row r="5" spans="1:8">
      <c r="A5" t="str">
        <f>IF(OR(D5&gt;0,H5&gt;0),基础信息!B4,"")</f>
        <v/>
      </c>
      <c r="B5" s="255"/>
      <c r="C5" s="276"/>
      <c r="D5" s="255"/>
      <c r="E5" s="255"/>
      <c r="F5" s="255"/>
      <c r="G5" s="255"/>
      <c r="H5" s="229">
        <f>D5+E5+F5-G5</f>
        <v>0</v>
      </c>
    </row>
    <row r="6" spans="1:8">
      <c r="A6" t="str">
        <f>IF(OR(D6&gt;0,H6&gt;0),基础信息!B5,"")</f>
        <v/>
      </c>
      <c r="B6" s="255"/>
      <c r="C6" s="276"/>
      <c r="D6" s="255"/>
      <c r="E6" s="255"/>
      <c r="F6" s="255"/>
      <c r="G6" s="255"/>
      <c r="H6" s="229">
        <f t="shared" ref="H6:H23" si="0">D6+E6+F6-G6</f>
        <v>0</v>
      </c>
    </row>
    <row r="7" spans="1:8">
      <c r="A7" t="str">
        <f>IF(OR(D7&gt;0,H7&gt;0),基础信息!B6,"")</f>
        <v/>
      </c>
      <c r="B7" s="255"/>
      <c r="C7" s="276"/>
      <c r="D7" s="255"/>
      <c r="E7" s="255"/>
      <c r="F7" s="255"/>
      <c r="G7" s="255"/>
      <c r="H7" s="229">
        <f t="shared" si="0"/>
        <v>0</v>
      </c>
    </row>
    <row r="8" spans="1:8">
      <c r="A8" t="str">
        <f>IF(OR(D8&gt;0,H8&gt;0),基础信息!B7,"")</f>
        <v/>
      </c>
      <c r="B8" s="255"/>
      <c r="C8" s="276"/>
      <c r="D8" s="255"/>
      <c r="E8" s="255"/>
      <c r="F8" s="255"/>
      <c r="G8" s="255"/>
      <c r="H8" s="229">
        <f t="shared" si="0"/>
        <v>0</v>
      </c>
    </row>
    <row r="9" spans="1:8">
      <c r="A9" t="str">
        <f>IF(OR(D9&gt;0,H9&gt;0),基础信息!B8,"")</f>
        <v/>
      </c>
      <c r="B9" s="255"/>
      <c r="C9" s="276"/>
      <c r="D9" s="255"/>
      <c r="E9" s="255"/>
      <c r="F9" s="255"/>
      <c r="G9" s="255"/>
      <c r="H9" s="229">
        <f t="shared" si="0"/>
        <v>0</v>
      </c>
    </row>
    <row r="10" spans="1:8">
      <c r="A10" t="str">
        <f>IF(OR(D10&gt;0,H10&gt;0),基础信息!B9,"")</f>
        <v/>
      </c>
      <c r="B10" s="255"/>
      <c r="C10" s="276"/>
      <c r="D10" s="255"/>
      <c r="E10" s="255"/>
      <c r="F10" s="255"/>
      <c r="G10" s="255"/>
      <c r="H10" s="229">
        <f t="shared" si="0"/>
        <v>0</v>
      </c>
    </row>
    <row r="11" spans="1:8">
      <c r="A11" t="str">
        <f>IF(OR(D11&gt;0,H11&gt;0),基础信息!B10,"")</f>
        <v/>
      </c>
      <c r="B11" s="255"/>
      <c r="C11" s="276"/>
      <c r="D11" s="255"/>
      <c r="E11" s="255"/>
      <c r="F11" s="255"/>
      <c r="G11" s="255"/>
      <c r="H11" s="229">
        <f t="shared" si="0"/>
        <v>0</v>
      </c>
    </row>
    <row r="12" spans="1:8">
      <c r="A12" t="str">
        <f>IF(OR(D12&gt;0,H12&gt;0),基础信息!B11,"")</f>
        <v/>
      </c>
      <c r="B12" s="255"/>
      <c r="C12" s="276"/>
      <c r="D12" s="255"/>
      <c r="E12" s="255"/>
      <c r="F12" s="255"/>
      <c r="G12" s="255"/>
      <c r="H12" s="229">
        <f t="shared" si="0"/>
        <v>0</v>
      </c>
    </row>
    <row r="13" spans="1:8">
      <c r="A13" t="str">
        <f>IF(OR(D13&gt;0,H13&gt;0),基础信息!B12,"")</f>
        <v/>
      </c>
      <c r="B13" s="255"/>
      <c r="C13" s="276"/>
      <c r="D13" s="255"/>
      <c r="E13" s="255"/>
      <c r="F13" s="255"/>
      <c r="G13" s="255"/>
      <c r="H13" s="229">
        <f t="shared" si="0"/>
        <v>0</v>
      </c>
    </row>
    <row r="14" spans="1:8">
      <c r="A14" t="str">
        <f>IF(OR(D14&gt;0,H14&gt;0),基础信息!B13,"")</f>
        <v/>
      </c>
      <c r="B14" s="255"/>
      <c r="C14" s="276"/>
      <c r="D14" s="255"/>
      <c r="E14" s="255"/>
      <c r="F14" s="255"/>
      <c r="G14" s="255"/>
      <c r="H14" s="229">
        <f t="shared" si="0"/>
        <v>0</v>
      </c>
    </row>
    <row r="15" spans="1:8">
      <c r="A15" t="str">
        <f>IF(OR(D15&gt;0,H15&gt;0),基础信息!B14,"")</f>
        <v/>
      </c>
      <c r="B15" s="255"/>
      <c r="C15" s="276"/>
      <c r="D15" s="255"/>
      <c r="E15" s="255"/>
      <c r="F15" s="255"/>
      <c r="G15" s="255"/>
      <c r="H15" s="229">
        <f t="shared" si="0"/>
        <v>0</v>
      </c>
    </row>
    <row r="16" spans="1:8">
      <c r="A16" t="str">
        <f>IF(OR(D16&gt;0,H16&gt;0),基础信息!B15,"")</f>
        <v/>
      </c>
      <c r="B16" s="255"/>
      <c r="C16" s="276"/>
      <c r="D16" s="255"/>
      <c r="E16" s="255"/>
      <c r="F16" s="255"/>
      <c r="G16" s="255"/>
      <c r="H16" s="229">
        <f t="shared" si="0"/>
        <v>0</v>
      </c>
    </row>
    <row r="17" spans="1:8">
      <c r="A17" t="str">
        <f>IF(OR(D17&gt;0,H17&gt;0),基础信息!B16,"")</f>
        <v/>
      </c>
      <c r="B17" s="255"/>
      <c r="C17" s="276"/>
      <c r="D17" s="255"/>
      <c r="E17" s="255"/>
      <c r="F17" s="255"/>
      <c r="G17" s="255"/>
      <c r="H17" s="229">
        <f t="shared" si="0"/>
        <v>0</v>
      </c>
    </row>
    <row r="18" spans="1:8">
      <c r="A18" t="str">
        <f>IF(OR(D18&gt;0,H18&gt;0),基础信息!B17,"")</f>
        <v/>
      </c>
      <c r="B18" s="255"/>
      <c r="C18" s="276"/>
      <c r="D18" s="255"/>
      <c r="E18" s="255"/>
      <c r="F18" s="255"/>
      <c r="G18" s="255"/>
      <c r="H18" s="229">
        <f t="shared" si="0"/>
        <v>0</v>
      </c>
    </row>
    <row r="19" spans="1:8">
      <c r="A19" t="str">
        <f>IF(OR(D19&gt;0,H19&gt;0),基础信息!B18,"")</f>
        <v/>
      </c>
      <c r="B19" s="255"/>
      <c r="C19" s="276"/>
      <c r="D19" s="255"/>
      <c r="E19" s="255"/>
      <c r="F19" s="255"/>
      <c r="G19" s="255"/>
      <c r="H19" s="229">
        <f t="shared" si="0"/>
        <v>0</v>
      </c>
    </row>
    <row r="20" spans="1:8">
      <c r="A20" t="str">
        <f>IF(OR(D20&gt;0,H20&gt;0),基础信息!B19,"")</f>
        <v/>
      </c>
      <c r="B20" s="255"/>
      <c r="C20" s="276"/>
      <c r="D20" s="255"/>
      <c r="E20" s="255"/>
      <c r="F20" s="255"/>
      <c r="G20" s="255"/>
      <c r="H20" s="229">
        <f t="shared" si="0"/>
        <v>0</v>
      </c>
    </row>
    <row r="21" spans="1:8">
      <c r="A21" t="str">
        <f>IF(OR(D21&gt;0,H21&gt;0),基础信息!B20,"")</f>
        <v/>
      </c>
      <c r="B21" s="255"/>
      <c r="C21" s="276"/>
      <c r="D21" s="255"/>
      <c r="E21" s="255"/>
      <c r="F21" s="255"/>
      <c r="G21" s="255"/>
      <c r="H21" s="229">
        <f t="shared" si="0"/>
        <v>0</v>
      </c>
    </row>
    <row r="22" spans="1:8">
      <c r="A22" t="str">
        <f>IF(OR(D22&gt;0,H22&gt;0),基础信息!B21,"")</f>
        <v/>
      </c>
      <c r="B22" s="255"/>
      <c r="C22" s="276"/>
      <c r="D22" s="255"/>
      <c r="E22" s="255"/>
      <c r="F22" s="255"/>
      <c r="G22" s="255"/>
      <c r="H22" s="229">
        <f t="shared" si="0"/>
        <v>0</v>
      </c>
    </row>
    <row r="23" spans="1:8">
      <c r="A23" t="str">
        <f>IF(OR(D23&gt;0,H23&gt;0),基础信息!B22,"")</f>
        <v/>
      </c>
      <c r="B23" s="255"/>
      <c r="C23" s="276"/>
      <c r="D23" s="255"/>
      <c r="E23" s="255"/>
      <c r="F23" s="255"/>
      <c r="G23" s="255"/>
      <c r="H23"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75CACA6-6156-47E2-912C-80D7AB316739}">
          <x14:formula1>
            <xm:f>分类表!$31:$31</xm:f>
          </x14:formula1>
          <xm:sqref>C2:C23</xm:sqref>
        </x14:dataValidation>
      </x14:dataValidations>
    </ext>
  </extLst>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codeName="Sheet243">
    <tabColor rgb="FFFFC000"/>
  </sheetPr>
  <dimension ref="A1:C7"/>
  <sheetViews>
    <sheetView workbookViewId="0">
      <selection activeCell="G13" sqref="G13"/>
    </sheetView>
  </sheetViews>
  <sheetFormatPr defaultRowHeight="13.8"/>
  <cols>
    <col min="1" max="16384" width="8.88671875" style="18"/>
  </cols>
  <sheetData>
    <row r="1" spans="1:3" ht="14.4">
      <c r="A1" s="31" t="s">
        <v>28</v>
      </c>
      <c r="B1" s="20" t="s">
        <v>203</v>
      </c>
      <c r="C1" s="20" t="s">
        <v>265</v>
      </c>
    </row>
    <row r="2" spans="1:3" ht="14.4">
      <c r="A2" s="377" t="s">
        <v>490</v>
      </c>
      <c r="B2" s="293">
        <f>ROUND(SUMIF(短期借款明细表!D:D,A2,短期借款明细表!R:R),2)</f>
        <v>0</v>
      </c>
      <c r="C2" s="293">
        <f>ROUND(SUMIF(短期借款明细表!D:D,短期借款明细情况!A2,短期借款明细表!L:L),2)</f>
        <v>0</v>
      </c>
    </row>
    <row r="3" spans="1:3" ht="14.4">
      <c r="A3" s="377" t="s">
        <v>491</v>
      </c>
      <c r="B3" s="293">
        <f>ROUND(SUMIF(短期借款明细表!D:D,A3,短期借款明细表!R:R),2)</f>
        <v>0</v>
      </c>
      <c r="C3" s="293">
        <f>ROUND(SUMIF(短期借款明细表!D:D,短期借款明细情况!A3,短期借款明细表!L:L),2)</f>
        <v>0</v>
      </c>
    </row>
    <row r="4" spans="1:3" ht="14.4">
      <c r="A4" s="377" t="s">
        <v>492</v>
      </c>
      <c r="B4" s="293">
        <f>ROUND(SUMIF(短期借款明细表!D:D,A4,短期借款明细表!R:R),2)</f>
        <v>0</v>
      </c>
      <c r="C4" s="293">
        <f>ROUND(SUMIF(短期借款明细表!D:D,短期借款明细情况!A4,短期借款明细表!L:L),2)</f>
        <v>0</v>
      </c>
    </row>
    <row r="5" spans="1:3" ht="14.4">
      <c r="A5" s="377" t="s">
        <v>493</v>
      </c>
      <c r="B5" s="293">
        <f>ROUND(SUMIF(短期借款明细表!D:D,A5,短期借款明细表!R:R),2)</f>
        <v>0</v>
      </c>
      <c r="C5" s="293">
        <f>ROUND(SUMIF(短期借款明细表!D:D,短期借款明细情况!A5,短期借款明细表!L:L),2)</f>
        <v>0</v>
      </c>
    </row>
    <row r="6" spans="1:3" ht="14.4">
      <c r="A6" s="377"/>
      <c r="B6" s="293"/>
      <c r="C6" s="293"/>
    </row>
    <row r="7" spans="1:3" ht="14.4">
      <c r="A7" s="31" t="s">
        <v>204</v>
      </c>
      <c r="B7" s="68">
        <f>ROUND(SUM(B2:B6),2)</f>
        <v>0</v>
      </c>
      <c r="C7" s="68">
        <f>ROUND(SUM(C2:C6),2)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2FF6A90-6199-470D-81E3-399D9EFBFDF1}">
          <x14:formula1>
            <xm:f>分类表!$32:$32</xm:f>
          </x14:formula1>
          <xm:sqref>A2:A6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sheetPr codeName="Sheet22">
    <tabColor rgb="FF00B0F0"/>
  </sheetPr>
  <dimension ref="A1:B8"/>
  <sheetViews>
    <sheetView workbookViewId="0">
      <selection activeCell="D25" sqref="D25"/>
    </sheetView>
  </sheetViews>
  <sheetFormatPr defaultRowHeight="13.8"/>
  <cols>
    <col min="1" max="1" width="26" bestFit="1" customWidth="1"/>
  </cols>
  <sheetData>
    <row r="1" spans="1:2">
      <c r="A1" s="262" t="s">
        <v>95</v>
      </c>
      <c r="B1" s="262" t="s">
        <v>2478</v>
      </c>
    </row>
    <row r="2" spans="1:2">
      <c r="A2" t="s">
        <v>2710</v>
      </c>
      <c r="B2" s="230">
        <f>财务费用!B3</f>
        <v>0</v>
      </c>
    </row>
    <row r="3" spans="1:2">
      <c r="A3" t="s">
        <v>2708</v>
      </c>
      <c r="B3" s="230">
        <f>存货期末余额中借款费用资本化情况!C4</f>
        <v>0</v>
      </c>
    </row>
    <row r="4" spans="1:2">
      <c r="A4" t="s">
        <v>2709</v>
      </c>
      <c r="B4" s="230">
        <f>重要在建工程项目本期变动情况!K10</f>
        <v>0</v>
      </c>
    </row>
    <row r="5" spans="1:2">
      <c r="B5" s="255"/>
    </row>
    <row r="6" spans="1:2">
      <c r="B6" s="255"/>
    </row>
    <row r="7" spans="1:2">
      <c r="A7" t="s">
        <v>2711</v>
      </c>
      <c r="B7" s="230">
        <f>SUM(B3:B6)</f>
        <v>0</v>
      </c>
    </row>
    <row r="8" spans="1:2">
      <c r="A8" t="s">
        <v>2351</v>
      </c>
      <c r="B8" s="230">
        <f>B2-B7</f>
        <v>0</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codeName="Sheet244">
    <tabColor rgb="FFFFC000"/>
  </sheetPr>
  <dimension ref="A1:E4"/>
  <sheetViews>
    <sheetView workbookViewId="0">
      <selection activeCell="B4" sqref="B4"/>
    </sheetView>
  </sheetViews>
  <sheetFormatPr defaultRowHeight="13.8"/>
  <cols>
    <col min="1" max="1" width="15.5546875" style="18" customWidth="1"/>
    <col min="2" max="2" width="12.77734375" style="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276</v>
      </c>
      <c r="B1" s="153" t="s">
        <v>3350</v>
      </c>
      <c r="C1" s="20" t="s">
        <v>494</v>
      </c>
      <c r="D1" s="20" t="s">
        <v>288</v>
      </c>
      <c r="E1" s="20" t="s">
        <v>495</v>
      </c>
    </row>
    <row r="2" spans="1:5">
      <c r="A2" s="275"/>
      <c r="B2" s="278"/>
      <c r="C2" s="279"/>
      <c r="D2" s="282"/>
      <c r="E2" s="282"/>
    </row>
    <row r="3" spans="1:5">
      <c r="A3" s="275"/>
      <c r="B3" s="278"/>
      <c r="C3" s="279"/>
      <c r="D3" s="282"/>
      <c r="E3" s="282"/>
    </row>
    <row r="4" spans="1:5" ht="14.4">
      <c r="A4" s="20" t="s">
        <v>204</v>
      </c>
      <c r="B4" s="151">
        <f>ROUND(SUM(B2:B3),2)</f>
        <v>0</v>
      </c>
      <c r="C4" s="54" t="s">
        <v>38</v>
      </c>
      <c r="D4" s="54" t="s">
        <v>38</v>
      </c>
      <c r="E4" s="54" t="s">
        <v>38</v>
      </c>
    </row>
  </sheetData>
  <phoneticPr fontId="1" type="noConversion"/>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C46A-75BA-46A0-961E-9B5371292D52}">
  <sheetPr codeName="Sheet245"/>
  <dimension ref="A1:W99"/>
  <sheetViews>
    <sheetView workbookViewId="0">
      <pane xSplit="1" ySplit="1" topLeftCell="B2" activePane="bottomRight" state="frozen"/>
      <selection pane="topRight" activeCell="B1" sqref="B1"/>
      <selection pane="bottomLeft" activeCell="A2" sqref="A2"/>
      <selection pane="bottomRight" activeCell="A2" sqref="A2:A99"/>
    </sheetView>
  </sheetViews>
  <sheetFormatPr defaultRowHeight="13.8"/>
  <cols>
    <col min="2" max="2" width="11.6640625" bestFit="1" customWidth="1"/>
    <col min="3" max="3" width="14.77734375" bestFit="1" customWidth="1"/>
    <col min="4" max="4" width="9.5546875" bestFit="1" customWidth="1"/>
    <col min="6" max="6" width="22.21875" bestFit="1" customWidth="1"/>
    <col min="7" max="7" width="22.6640625" bestFit="1" customWidth="1"/>
    <col min="8" max="8" width="9.5546875" bestFit="1" customWidth="1"/>
    <col min="9" max="9" width="18.33203125" bestFit="1" customWidth="1"/>
    <col min="10" max="11" width="9.5546875" bestFit="1" customWidth="1"/>
    <col min="18" max="18" width="10.6640625" style="229" bestFit="1" customWidth="1"/>
    <col min="19" max="19" width="9.5546875" bestFit="1" customWidth="1"/>
    <col min="20" max="20" width="13.88671875" bestFit="1" customWidth="1"/>
    <col min="21" max="21" width="9.5546875" bestFit="1" customWidth="1"/>
    <col min="22" max="23" width="13.88671875" bestFit="1" customWidth="1"/>
  </cols>
  <sheetData>
    <row r="1" spans="1:23">
      <c r="A1" t="s">
        <v>2438</v>
      </c>
      <c r="B1" t="s">
        <v>3594</v>
      </c>
      <c r="C1" t="s">
        <v>3595</v>
      </c>
      <c r="D1" t="s">
        <v>3596</v>
      </c>
      <c r="E1" t="s">
        <v>3597</v>
      </c>
      <c r="F1" t="s">
        <v>3598</v>
      </c>
      <c r="G1" t="s">
        <v>3599</v>
      </c>
      <c r="H1" t="s">
        <v>3600</v>
      </c>
      <c r="I1" t="s">
        <v>3601</v>
      </c>
      <c r="J1" t="s">
        <v>3602</v>
      </c>
      <c r="K1" t="s">
        <v>3603</v>
      </c>
      <c r="L1" t="s">
        <v>578</v>
      </c>
      <c r="M1" t="s">
        <v>3572</v>
      </c>
      <c r="N1" t="s">
        <v>3604</v>
      </c>
      <c r="O1" t="s">
        <v>545</v>
      </c>
      <c r="P1" t="s">
        <v>3605</v>
      </c>
      <c r="Q1" t="s">
        <v>3556</v>
      </c>
      <c r="R1" s="229" t="s">
        <v>390</v>
      </c>
      <c r="S1" t="s">
        <v>3395</v>
      </c>
      <c r="T1" t="s">
        <v>3606</v>
      </c>
      <c r="U1" t="s">
        <v>3609</v>
      </c>
      <c r="V1" t="s">
        <v>3607</v>
      </c>
      <c r="W1" t="s">
        <v>3608</v>
      </c>
    </row>
    <row r="2" spans="1:23">
      <c r="A2" t="str">
        <f>IF(OR(R2&gt;0,L2&gt;0),基础信息!$B$1,"")</f>
        <v/>
      </c>
      <c r="B2" s="255"/>
      <c r="C2" s="255"/>
      <c r="D2" s="276"/>
      <c r="E2" s="276"/>
      <c r="F2" s="255"/>
      <c r="G2" s="255"/>
      <c r="H2" s="255"/>
      <c r="I2" s="255"/>
      <c r="J2" s="255"/>
      <c r="K2" s="255"/>
      <c r="L2" s="255"/>
      <c r="M2" s="255"/>
      <c r="N2" s="255"/>
      <c r="O2" s="255"/>
      <c r="P2" s="255"/>
      <c r="Q2" s="255"/>
      <c r="R2" s="229">
        <f>L2+M2+N2-O2-Q2</f>
        <v>0</v>
      </c>
      <c r="S2" s="255"/>
      <c r="T2" s="255"/>
      <c r="U2" s="255"/>
      <c r="V2" s="255"/>
      <c r="W2" s="255"/>
    </row>
    <row r="3" spans="1:23">
      <c r="A3" t="str">
        <f>IF(OR(R3&gt;0,L3&gt;0),基础信息!$B$1,"")</f>
        <v/>
      </c>
      <c r="B3" s="255"/>
      <c r="C3" s="255"/>
      <c r="D3" s="276"/>
      <c r="E3" s="276"/>
      <c r="F3" s="255"/>
      <c r="G3" s="255"/>
      <c r="H3" s="255"/>
      <c r="I3" s="255"/>
      <c r="J3" s="255"/>
      <c r="K3" s="255"/>
      <c r="L3" s="255"/>
      <c r="M3" s="255"/>
      <c r="N3" s="255"/>
      <c r="O3" s="255"/>
      <c r="P3" s="255"/>
      <c r="Q3" s="255"/>
      <c r="R3" s="229">
        <f t="shared" ref="R3:R66" si="0">L3+M3+N3-O3-Q3</f>
        <v>0</v>
      </c>
      <c r="S3" s="255"/>
      <c r="T3" s="255"/>
      <c r="U3" s="255"/>
      <c r="V3" s="255"/>
      <c r="W3" s="255"/>
    </row>
    <row r="4" spans="1:23">
      <c r="A4" t="str">
        <f>IF(OR(R4&gt;0,L4&gt;0),基础信息!$B$1,"")</f>
        <v/>
      </c>
      <c r="B4" s="255"/>
      <c r="C4" s="255"/>
      <c r="D4" s="276"/>
      <c r="E4" s="276"/>
      <c r="F4" s="255"/>
      <c r="G4" s="255"/>
      <c r="H4" s="255"/>
      <c r="I4" s="255"/>
      <c r="J4" s="255"/>
      <c r="K4" s="255"/>
      <c r="L4" s="255"/>
      <c r="M4" s="255"/>
      <c r="N4" s="255"/>
      <c r="O4" s="255"/>
      <c r="P4" s="255"/>
      <c r="Q4" s="255"/>
      <c r="R4" s="229">
        <f t="shared" si="0"/>
        <v>0</v>
      </c>
      <c r="S4" s="255"/>
      <c r="T4" s="255"/>
      <c r="U4" s="255"/>
      <c r="V4" s="255"/>
      <c r="W4" s="255"/>
    </row>
    <row r="5" spans="1:23">
      <c r="A5" t="str">
        <f>IF(OR(R5&gt;0,L5&gt;0),基础信息!$B$1,"")</f>
        <v/>
      </c>
      <c r="B5" s="255"/>
      <c r="C5" s="255"/>
      <c r="D5" s="276"/>
      <c r="E5" s="276"/>
      <c r="F5" s="255"/>
      <c r="G5" s="255"/>
      <c r="H5" s="255"/>
      <c r="I5" s="255"/>
      <c r="J5" s="255"/>
      <c r="K5" s="255"/>
      <c r="L5" s="255"/>
      <c r="M5" s="255"/>
      <c r="N5" s="255"/>
      <c r="O5" s="255"/>
      <c r="P5" s="255"/>
      <c r="Q5" s="255"/>
      <c r="R5" s="229">
        <f t="shared" si="0"/>
        <v>0</v>
      </c>
      <c r="S5" s="255"/>
      <c r="T5" s="255"/>
      <c r="U5" s="255"/>
      <c r="V5" s="255"/>
      <c r="W5" s="255"/>
    </row>
    <row r="6" spans="1:23">
      <c r="A6" t="str">
        <f>IF(OR(R6&gt;0,L6&gt;0),基础信息!$B$1,"")</f>
        <v/>
      </c>
      <c r="B6" s="255"/>
      <c r="C6" s="255"/>
      <c r="D6" s="276"/>
      <c r="E6" s="276"/>
      <c r="F6" s="255"/>
      <c r="G6" s="255"/>
      <c r="H6" s="255"/>
      <c r="I6" s="255"/>
      <c r="J6" s="255"/>
      <c r="K6" s="255"/>
      <c r="L6" s="255"/>
      <c r="M6" s="255"/>
      <c r="N6" s="255"/>
      <c r="O6" s="255"/>
      <c r="P6" s="255"/>
      <c r="Q6" s="255"/>
      <c r="R6" s="229">
        <f t="shared" si="0"/>
        <v>0</v>
      </c>
      <c r="S6" s="255"/>
      <c r="T6" s="255"/>
      <c r="U6" s="255"/>
      <c r="V6" s="255"/>
      <c r="W6" s="255"/>
    </row>
    <row r="7" spans="1:23">
      <c r="A7" t="str">
        <f>IF(OR(R7&gt;0,L7&gt;0),基础信息!$B$1,"")</f>
        <v/>
      </c>
      <c r="B7" s="255"/>
      <c r="C7" s="255"/>
      <c r="D7" s="276"/>
      <c r="E7" s="276"/>
      <c r="F7" s="255"/>
      <c r="G7" s="255"/>
      <c r="H7" s="255"/>
      <c r="I7" s="255"/>
      <c r="J7" s="255"/>
      <c r="K7" s="255"/>
      <c r="L7" s="255"/>
      <c r="M7" s="255"/>
      <c r="N7" s="255"/>
      <c r="O7" s="255"/>
      <c r="P7" s="255"/>
      <c r="Q7" s="255"/>
      <c r="R7" s="229">
        <f t="shared" si="0"/>
        <v>0</v>
      </c>
      <c r="S7" s="255"/>
      <c r="T7" s="255"/>
      <c r="U7" s="255"/>
      <c r="V7" s="255"/>
      <c r="W7" s="255"/>
    </row>
    <row r="8" spans="1:23">
      <c r="A8" t="str">
        <f>IF(OR(R8&gt;0,L8&gt;0),基础信息!$B$1,"")</f>
        <v/>
      </c>
      <c r="B8" s="255"/>
      <c r="C8" s="255"/>
      <c r="D8" s="276"/>
      <c r="E8" s="276"/>
      <c r="F8" s="255"/>
      <c r="G8" s="255"/>
      <c r="H8" s="255"/>
      <c r="I8" s="255"/>
      <c r="J8" s="255"/>
      <c r="K8" s="255"/>
      <c r="L8" s="255"/>
      <c r="M8" s="255"/>
      <c r="N8" s="255"/>
      <c r="O8" s="255"/>
      <c r="P8" s="255"/>
      <c r="Q8" s="255"/>
      <c r="R8" s="229">
        <f t="shared" si="0"/>
        <v>0</v>
      </c>
      <c r="S8" s="255"/>
      <c r="T8" s="255"/>
      <c r="U8" s="255"/>
      <c r="V8" s="255"/>
      <c r="W8" s="255"/>
    </row>
    <row r="9" spans="1:23">
      <c r="A9" t="str">
        <f>IF(OR(R9&gt;0,L9&gt;0),基础信息!$B$1,"")</f>
        <v/>
      </c>
      <c r="B9" s="255"/>
      <c r="C9" s="255"/>
      <c r="D9" s="276"/>
      <c r="E9" s="276"/>
      <c r="F9" s="255"/>
      <c r="G9" s="255"/>
      <c r="H9" s="255"/>
      <c r="I9" s="255"/>
      <c r="J9" s="255"/>
      <c r="K9" s="255"/>
      <c r="L9" s="255"/>
      <c r="M9" s="255"/>
      <c r="N9" s="255"/>
      <c r="O9" s="255"/>
      <c r="P9" s="255"/>
      <c r="Q9" s="255"/>
      <c r="R9" s="229">
        <f t="shared" si="0"/>
        <v>0</v>
      </c>
      <c r="S9" s="255"/>
      <c r="T9" s="255"/>
      <c r="U9" s="255"/>
      <c r="V9" s="255"/>
      <c r="W9" s="255"/>
    </row>
    <row r="10" spans="1:23">
      <c r="A10" t="str">
        <f>IF(OR(R10&gt;0,L10&gt;0),基础信息!$B$1,"")</f>
        <v/>
      </c>
      <c r="B10" s="255"/>
      <c r="C10" s="255"/>
      <c r="D10" s="276"/>
      <c r="E10" s="276"/>
      <c r="F10" s="255"/>
      <c r="G10" s="255"/>
      <c r="H10" s="255"/>
      <c r="I10" s="255"/>
      <c r="J10" s="255"/>
      <c r="K10" s="255"/>
      <c r="L10" s="255"/>
      <c r="M10" s="255"/>
      <c r="N10" s="255"/>
      <c r="O10" s="255"/>
      <c r="P10" s="255"/>
      <c r="Q10" s="255"/>
      <c r="R10" s="229">
        <f t="shared" si="0"/>
        <v>0</v>
      </c>
      <c r="S10" s="255"/>
      <c r="T10" s="255"/>
      <c r="U10" s="255"/>
      <c r="V10" s="255"/>
      <c r="W10" s="255"/>
    </row>
    <row r="11" spans="1:23">
      <c r="A11" t="str">
        <f>IF(OR(R11&gt;0,L11&gt;0),基础信息!$B$1,"")</f>
        <v/>
      </c>
      <c r="B11" s="255"/>
      <c r="C11" s="255"/>
      <c r="D11" s="276"/>
      <c r="E11" s="276"/>
      <c r="F11" s="255"/>
      <c r="G11" s="255"/>
      <c r="H11" s="255"/>
      <c r="I11" s="255"/>
      <c r="J11" s="255"/>
      <c r="K11" s="255"/>
      <c r="L11" s="255"/>
      <c r="M11" s="255"/>
      <c r="N11" s="255"/>
      <c r="O11" s="255"/>
      <c r="P11" s="255"/>
      <c r="Q11" s="255"/>
      <c r="R11" s="229">
        <f t="shared" si="0"/>
        <v>0</v>
      </c>
      <c r="S11" s="255"/>
      <c r="T11" s="255"/>
      <c r="U11" s="255"/>
      <c r="V11" s="255"/>
      <c r="W11" s="255"/>
    </row>
    <row r="12" spans="1:23">
      <c r="A12" t="str">
        <f>IF(OR(R12&gt;0,L12&gt;0),基础信息!$B$1,"")</f>
        <v/>
      </c>
      <c r="B12" s="255"/>
      <c r="C12" s="255"/>
      <c r="D12" s="276"/>
      <c r="E12" s="276"/>
      <c r="F12" s="255"/>
      <c r="G12" s="255"/>
      <c r="H12" s="255"/>
      <c r="I12" s="255"/>
      <c r="J12" s="255"/>
      <c r="K12" s="255"/>
      <c r="L12" s="255"/>
      <c r="M12" s="255"/>
      <c r="N12" s="255"/>
      <c r="O12" s="255"/>
      <c r="P12" s="255"/>
      <c r="Q12" s="255"/>
      <c r="R12" s="229">
        <f t="shared" si="0"/>
        <v>0</v>
      </c>
      <c r="S12" s="255"/>
      <c r="T12" s="255"/>
      <c r="U12" s="255"/>
      <c r="V12" s="255"/>
      <c r="W12" s="255"/>
    </row>
    <row r="13" spans="1:23">
      <c r="A13" t="str">
        <f>IF(OR(R13&gt;0,L13&gt;0),基础信息!$B$1,"")</f>
        <v/>
      </c>
      <c r="B13" s="255"/>
      <c r="C13" s="255"/>
      <c r="D13" s="276"/>
      <c r="E13" s="276"/>
      <c r="F13" s="255"/>
      <c r="G13" s="255"/>
      <c r="H13" s="255"/>
      <c r="I13" s="255"/>
      <c r="J13" s="255"/>
      <c r="K13" s="255"/>
      <c r="L13" s="255"/>
      <c r="M13" s="255"/>
      <c r="N13" s="255"/>
      <c r="O13" s="255"/>
      <c r="P13" s="255"/>
      <c r="Q13" s="255"/>
      <c r="R13" s="229">
        <f t="shared" si="0"/>
        <v>0</v>
      </c>
      <c r="S13" s="255"/>
      <c r="T13" s="255"/>
      <c r="U13" s="255"/>
      <c r="V13" s="255"/>
      <c r="W13" s="255"/>
    </row>
    <row r="14" spans="1:23">
      <c r="A14" t="str">
        <f>IF(OR(R14&gt;0,L14&gt;0),基础信息!$B$1,"")</f>
        <v/>
      </c>
      <c r="B14" s="255"/>
      <c r="C14" s="255"/>
      <c r="D14" s="276"/>
      <c r="E14" s="276"/>
      <c r="F14" s="255"/>
      <c r="G14" s="255"/>
      <c r="H14" s="255"/>
      <c r="I14" s="255"/>
      <c r="J14" s="255"/>
      <c r="K14" s="255"/>
      <c r="L14" s="255"/>
      <c r="M14" s="255"/>
      <c r="N14" s="255"/>
      <c r="O14" s="255"/>
      <c r="P14" s="255"/>
      <c r="Q14" s="255"/>
      <c r="R14" s="229">
        <f t="shared" si="0"/>
        <v>0</v>
      </c>
      <c r="S14" s="255"/>
      <c r="T14" s="255"/>
      <c r="U14" s="255"/>
      <c r="V14" s="255"/>
      <c r="W14" s="255"/>
    </row>
    <row r="15" spans="1:23">
      <c r="A15" t="str">
        <f>IF(OR(R15&gt;0,L15&gt;0),基础信息!$B$1,"")</f>
        <v/>
      </c>
      <c r="B15" s="255"/>
      <c r="C15" s="255"/>
      <c r="D15" s="276"/>
      <c r="E15" s="276"/>
      <c r="F15" s="255"/>
      <c r="G15" s="255"/>
      <c r="H15" s="255"/>
      <c r="I15" s="255"/>
      <c r="J15" s="255"/>
      <c r="K15" s="255"/>
      <c r="L15" s="255"/>
      <c r="M15" s="255"/>
      <c r="N15" s="255"/>
      <c r="O15" s="255"/>
      <c r="P15" s="255"/>
      <c r="Q15" s="255"/>
      <c r="R15" s="229">
        <f t="shared" si="0"/>
        <v>0</v>
      </c>
      <c r="S15" s="255"/>
      <c r="T15" s="255"/>
      <c r="U15" s="255"/>
      <c r="V15" s="255"/>
      <c r="W15" s="255"/>
    </row>
    <row r="16" spans="1:23">
      <c r="A16" t="str">
        <f>IF(OR(R16&gt;0,L16&gt;0),基础信息!$B$1,"")</f>
        <v/>
      </c>
      <c r="B16" s="255"/>
      <c r="C16" s="255"/>
      <c r="D16" s="276"/>
      <c r="E16" s="276"/>
      <c r="F16" s="255"/>
      <c r="G16" s="255"/>
      <c r="H16" s="255"/>
      <c r="I16" s="255"/>
      <c r="J16" s="255"/>
      <c r="K16" s="255"/>
      <c r="L16" s="255"/>
      <c r="M16" s="255"/>
      <c r="N16" s="255"/>
      <c r="O16" s="255"/>
      <c r="P16" s="255"/>
      <c r="Q16" s="255"/>
      <c r="R16" s="229">
        <f t="shared" si="0"/>
        <v>0</v>
      </c>
      <c r="S16" s="255"/>
      <c r="T16" s="255"/>
      <c r="U16" s="255"/>
      <c r="V16" s="255"/>
      <c r="W16" s="255"/>
    </row>
    <row r="17" spans="1:23">
      <c r="A17" t="str">
        <f>IF(OR(R17&gt;0,L17&gt;0),基础信息!$B$1,"")</f>
        <v/>
      </c>
      <c r="B17" s="255"/>
      <c r="C17" s="255"/>
      <c r="D17" s="276"/>
      <c r="E17" s="276"/>
      <c r="F17" s="255"/>
      <c r="G17" s="255"/>
      <c r="H17" s="255"/>
      <c r="I17" s="255"/>
      <c r="J17" s="255"/>
      <c r="K17" s="255"/>
      <c r="L17" s="255"/>
      <c r="M17" s="255"/>
      <c r="N17" s="255"/>
      <c r="O17" s="255"/>
      <c r="P17" s="255"/>
      <c r="Q17" s="255"/>
      <c r="R17" s="229">
        <f t="shared" si="0"/>
        <v>0</v>
      </c>
      <c r="S17" s="255"/>
      <c r="T17" s="255"/>
      <c r="U17" s="255"/>
      <c r="V17" s="255"/>
      <c r="W17" s="255"/>
    </row>
    <row r="18" spans="1:23">
      <c r="A18" t="str">
        <f>IF(OR(R18&gt;0,L18&gt;0),基础信息!$B$1,"")</f>
        <v/>
      </c>
      <c r="B18" s="255"/>
      <c r="C18" s="255"/>
      <c r="D18" s="276"/>
      <c r="E18" s="276"/>
      <c r="F18" s="255"/>
      <c r="G18" s="255"/>
      <c r="H18" s="255"/>
      <c r="I18" s="255"/>
      <c r="J18" s="255"/>
      <c r="K18" s="255"/>
      <c r="L18" s="255"/>
      <c r="M18" s="255"/>
      <c r="N18" s="255"/>
      <c r="O18" s="255"/>
      <c r="P18" s="255"/>
      <c r="Q18" s="255"/>
      <c r="R18" s="229">
        <f t="shared" si="0"/>
        <v>0</v>
      </c>
      <c r="S18" s="255"/>
      <c r="T18" s="255"/>
      <c r="U18" s="255"/>
      <c r="V18" s="255"/>
      <c r="W18" s="255"/>
    </row>
    <row r="19" spans="1:23">
      <c r="A19" t="str">
        <f>IF(OR(R19&gt;0,L19&gt;0),基础信息!$B$1,"")</f>
        <v/>
      </c>
      <c r="B19" s="255"/>
      <c r="C19" s="255"/>
      <c r="D19" s="276"/>
      <c r="E19" s="276"/>
      <c r="F19" s="255"/>
      <c r="G19" s="255"/>
      <c r="H19" s="255"/>
      <c r="I19" s="255"/>
      <c r="J19" s="255"/>
      <c r="K19" s="255"/>
      <c r="L19" s="255"/>
      <c r="M19" s="255"/>
      <c r="N19" s="255"/>
      <c r="O19" s="255"/>
      <c r="P19" s="255"/>
      <c r="Q19" s="255"/>
      <c r="R19" s="229">
        <f t="shared" si="0"/>
        <v>0</v>
      </c>
      <c r="S19" s="255"/>
      <c r="T19" s="255"/>
      <c r="U19" s="255"/>
      <c r="V19" s="255"/>
      <c r="W19" s="255"/>
    </row>
    <row r="20" spans="1:23">
      <c r="A20" t="str">
        <f>IF(OR(R20&gt;0,L20&gt;0),基础信息!$B$1,"")</f>
        <v/>
      </c>
      <c r="B20" s="255"/>
      <c r="C20" s="255"/>
      <c r="D20" s="276"/>
      <c r="E20" s="276"/>
      <c r="F20" s="255"/>
      <c r="G20" s="255"/>
      <c r="H20" s="255"/>
      <c r="I20" s="255"/>
      <c r="J20" s="255"/>
      <c r="K20" s="255"/>
      <c r="L20" s="255"/>
      <c r="M20" s="255"/>
      <c r="N20" s="255"/>
      <c r="O20" s="255"/>
      <c r="P20" s="255"/>
      <c r="Q20" s="255"/>
      <c r="R20" s="229">
        <f t="shared" si="0"/>
        <v>0</v>
      </c>
      <c r="S20" s="255"/>
      <c r="T20" s="255"/>
      <c r="U20" s="255"/>
      <c r="V20" s="255"/>
      <c r="W20" s="255"/>
    </row>
    <row r="21" spans="1:23">
      <c r="A21" t="str">
        <f>IF(OR(R21&gt;0,L21&gt;0),基础信息!$B$1,"")</f>
        <v/>
      </c>
      <c r="B21" s="255"/>
      <c r="C21" s="255"/>
      <c r="D21" s="276"/>
      <c r="E21" s="276"/>
      <c r="F21" s="255"/>
      <c r="G21" s="255"/>
      <c r="H21" s="255"/>
      <c r="I21" s="255"/>
      <c r="J21" s="255"/>
      <c r="K21" s="255"/>
      <c r="L21" s="255"/>
      <c r="M21" s="255"/>
      <c r="N21" s="255"/>
      <c r="O21" s="255"/>
      <c r="P21" s="255"/>
      <c r="Q21" s="255"/>
      <c r="R21" s="229">
        <f t="shared" si="0"/>
        <v>0</v>
      </c>
      <c r="S21" s="255"/>
      <c r="T21" s="255"/>
      <c r="U21" s="255"/>
      <c r="V21" s="255"/>
      <c r="W21" s="255"/>
    </row>
    <row r="22" spans="1:23">
      <c r="A22" t="str">
        <f>IF(OR(R22&gt;0,L22&gt;0),基础信息!$B$1,"")</f>
        <v/>
      </c>
      <c r="B22" s="255"/>
      <c r="C22" s="255"/>
      <c r="D22" s="276"/>
      <c r="E22" s="276"/>
      <c r="F22" s="255"/>
      <c r="G22" s="255"/>
      <c r="H22" s="255"/>
      <c r="I22" s="255"/>
      <c r="J22" s="255"/>
      <c r="K22" s="255"/>
      <c r="L22" s="255"/>
      <c r="M22" s="255"/>
      <c r="N22" s="255"/>
      <c r="O22" s="255"/>
      <c r="P22" s="255"/>
      <c r="Q22" s="255"/>
      <c r="R22" s="229">
        <f t="shared" si="0"/>
        <v>0</v>
      </c>
      <c r="S22" s="255"/>
      <c r="T22" s="255"/>
      <c r="U22" s="255"/>
      <c r="V22" s="255"/>
      <c r="W22" s="255"/>
    </row>
    <row r="23" spans="1:23">
      <c r="A23" t="str">
        <f>IF(OR(R23&gt;0,L23&gt;0),基础信息!$B$1,"")</f>
        <v/>
      </c>
      <c r="B23" s="255"/>
      <c r="C23" s="255"/>
      <c r="D23" s="276"/>
      <c r="E23" s="276"/>
      <c r="F23" s="255"/>
      <c r="G23" s="255"/>
      <c r="H23" s="255"/>
      <c r="I23" s="255"/>
      <c r="J23" s="255"/>
      <c r="K23" s="255"/>
      <c r="L23" s="255"/>
      <c r="M23" s="255"/>
      <c r="N23" s="255"/>
      <c r="O23" s="255"/>
      <c r="P23" s="255"/>
      <c r="Q23" s="255"/>
      <c r="R23" s="229">
        <f t="shared" si="0"/>
        <v>0</v>
      </c>
      <c r="S23" s="255"/>
      <c r="T23" s="255"/>
      <c r="U23" s="255"/>
      <c r="V23" s="255"/>
      <c r="W23" s="255"/>
    </row>
    <row r="24" spans="1:23">
      <c r="A24" t="str">
        <f>IF(OR(R24&gt;0,L24&gt;0),基础信息!$B$1,"")</f>
        <v/>
      </c>
      <c r="B24" s="255"/>
      <c r="C24" s="255"/>
      <c r="D24" s="276"/>
      <c r="E24" s="276"/>
      <c r="F24" s="255"/>
      <c r="G24" s="255"/>
      <c r="H24" s="255"/>
      <c r="I24" s="255"/>
      <c r="J24" s="255"/>
      <c r="K24" s="255"/>
      <c r="L24" s="255"/>
      <c r="M24" s="255"/>
      <c r="N24" s="255"/>
      <c r="O24" s="255"/>
      <c r="P24" s="255"/>
      <c r="Q24" s="255"/>
      <c r="R24" s="229">
        <f t="shared" si="0"/>
        <v>0</v>
      </c>
      <c r="S24" s="255"/>
      <c r="T24" s="255"/>
      <c r="U24" s="255"/>
      <c r="V24" s="255"/>
      <c r="W24" s="255"/>
    </row>
    <row r="25" spans="1:23">
      <c r="A25" t="str">
        <f>IF(OR(R25&gt;0,L25&gt;0),基础信息!$B$1,"")</f>
        <v/>
      </c>
      <c r="B25" s="255"/>
      <c r="C25" s="255"/>
      <c r="D25" s="276"/>
      <c r="E25" s="276"/>
      <c r="F25" s="255"/>
      <c r="G25" s="255"/>
      <c r="H25" s="255"/>
      <c r="I25" s="255"/>
      <c r="J25" s="255"/>
      <c r="K25" s="255"/>
      <c r="L25" s="255"/>
      <c r="M25" s="255"/>
      <c r="N25" s="255"/>
      <c r="O25" s="255"/>
      <c r="P25" s="255"/>
      <c r="Q25" s="255"/>
      <c r="R25" s="229">
        <f t="shared" si="0"/>
        <v>0</v>
      </c>
      <c r="S25" s="255"/>
      <c r="T25" s="255"/>
      <c r="U25" s="255"/>
      <c r="V25" s="255"/>
      <c r="W25" s="255"/>
    </row>
    <row r="26" spans="1:23">
      <c r="A26" t="str">
        <f>IF(OR(R26&gt;0,L26&gt;0),基础信息!$B$1,"")</f>
        <v/>
      </c>
      <c r="B26" s="255"/>
      <c r="C26" s="255"/>
      <c r="D26" s="276"/>
      <c r="E26" s="276"/>
      <c r="F26" s="255"/>
      <c r="G26" s="255"/>
      <c r="H26" s="255"/>
      <c r="I26" s="255"/>
      <c r="J26" s="255"/>
      <c r="K26" s="255"/>
      <c r="L26" s="255"/>
      <c r="M26" s="255"/>
      <c r="N26" s="255"/>
      <c r="O26" s="255"/>
      <c r="P26" s="255"/>
      <c r="Q26" s="255"/>
      <c r="R26" s="229">
        <f t="shared" si="0"/>
        <v>0</v>
      </c>
      <c r="S26" s="255"/>
      <c r="T26" s="255"/>
      <c r="U26" s="255"/>
      <c r="V26" s="255"/>
      <c r="W26" s="255"/>
    </row>
    <row r="27" spans="1:23">
      <c r="A27" t="str">
        <f>IF(OR(R27&gt;0,L27&gt;0),基础信息!$B$1,"")</f>
        <v/>
      </c>
      <c r="B27" s="255"/>
      <c r="C27" s="255"/>
      <c r="D27" s="276"/>
      <c r="E27" s="276"/>
      <c r="R27" s="229">
        <f t="shared" si="0"/>
        <v>0</v>
      </c>
    </row>
    <row r="28" spans="1:23">
      <c r="A28" t="str">
        <f>IF(OR(R28&gt;0,L28&gt;0),基础信息!$B$1,"")</f>
        <v/>
      </c>
      <c r="B28" s="255"/>
      <c r="C28" s="255"/>
      <c r="D28" s="276"/>
      <c r="E28" s="276"/>
      <c r="R28" s="229">
        <f t="shared" si="0"/>
        <v>0</v>
      </c>
    </row>
    <row r="29" spans="1:23">
      <c r="A29" t="str">
        <f>IF(OR(R29&gt;0,L29&gt;0),基础信息!$B$1,"")</f>
        <v/>
      </c>
      <c r="B29" s="255"/>
      <c r="C29" s="255"/>
      <c r="D29" s="276"/>
      <c r="E29" s="276"/>
      <c r="R29" s="229">
        <f t="shared" si="0"/>
        <v>0</v>
      </c>
    </row>
    <row r="30" spans="1:23">
      <c r="A30" t="str">
        <f>IF(OR(R30&gt;0,L30&gt;0),基础信息!$B$1,"")</f>
        <v/>
      </c>
      <c r="B30" s="255"/>
      <c r="C30" s="255"/>
      <c r="D30" s="276"/>
      <c r="E30" s="276"/>
      <c r="R30" s="229">
        <f t="shared" si="0"/>
        <v>0</v>
      </c>
    </row>
    <row r="31" spans="1:23">
      <c r="A31" t="str">
        <f>IF(OR(R31&gt;0,L31&gt;0),基础信息!$B$1,"")</f>
        <v/>
      </c>
      <c r="B31" s="255"/>
      <c r="C31" s="255"/>
      <c r="D31" s="276"/>
      <c r="E31" s="276"/>
      <c r="R31" s="229">
        <f t="shared" si="0"/>
        <v>0</v>
      </c>
    </row>
    <row r="32" spans="1:23">
      <c r="A32" t="str">
        <f>IF(OR(R32&gt;0,L32&gt;0),基础信息!$B$1,"")</f>
        <v/>
      </c>
      <c r="B32" s="255"/>
      <c r="C32" s="255"/>
      <c r="D32" s="276"/>
      <c r="E32" s="276"/>
      <c r="R32" s="229">
        <f t="shared" si="0"/>
        <v>0</v>
      </c>
    </row>
    <row r="33" spans="1:18">
      <c r="A33" t="str">
        <f>IF(OR(R33&gt;0,L33&gt;0),基础信息!$B$1,"")</f>
        <v/>
      </c>
      <c r="B33" s="255"/>
      <c r="C33" s="255"/>
      <c r="D33" s="276"/>
      <c r="E33" s="276"/>
      <c r="R33" s="229">
        <f t="shared" si="0"/>
        <v>0</v>
      </c>
    </row>
    <row r="34" spans="1:18">
      <c r="A34" t="str">
        <f>IF(OR(R34&gt;0,L34&gt;0),基础信息!$B$1,"")</f>
        <v/>
      </c>
      <c r="D34" s="276"/>
      <c r="E34" s="276"/>
      <c r="R34" s="229">
        <f t="shared" si="0"/>
        <v>0</v>
      </c>
    </row>
    <row r="35" spans="1:18">
      <c r="A35" t="str">
        <f>IF(OR(R35&gt;0,L35&gt;0),基础信息!$B$1,"")</f>
        <v/>
      </c>
      <c r="D35" s="276"/>
      <c r="E35" s="276"/>
      <c r="R35" s="229">
        <f t="shared" si="0"/>
        <v>0</v>
      </c>
    </row>
    <row r="36" spans="1:18">
      <c r="A36" t="str">
        <f>IF(OR(R36&gt;0,L36&gt;0),基础信息!$B$1,"")</f>
        <v/>
      </c>
      <c r="R36" s="229">
        <f t="shared" si="0"/>
        <v>0</v>
      </c>
    </row>
    <row r="37" spans="1:18">
      <c r="A37" t="str">
        <f>IF(OR(R37&gt;0,L37&gt;0),基础信息!$B$1,"")</f>
        <v/>
      </c>
      <c r="R37" s="229">
        <f t="shared" si="0"/>
        <v>0</v>
      </c>
    </row>
    <row r="38" spans="1:18">
      <c r="A38" t="str">
        <f>IF(OR(R38&gt;0,L38&gt;0),基础信息!$B$1,"")</f>
        <v/>
      </c>
      <c r="R38" s="229">
        <f t="shared" si="0"/>
        <v>0</v>
      </c>
    </row>
    <row r="39" spans="1:18">
      <c r="A39" t="str">
        <f>IF(OR(R39&gt;0,L39&gt;0),基础信息!$B$1,"")</f>
        <v/>
      </c>
      <c r="R39" s="229">
        <f t="shared" si="0"/>
        <v>0</v>
      </c>
    </row>
    <row r="40" spans="1:18">
      <c r="A40" t="str">
        <f>IF(OR(R40&gt;0,L40&gt;0),基础信息!$B$1,"")</f>
        <v/>
      </c>
      <c r="R40" s="229">
        <f t="shared" si="0"/>
        <v>0</v>
      </c>
    </row>
    <row r="41" spans="1:18">
      <c r="A41" t="str">
        <f>IF(OR(R41&gt;0,L41&gt;0),基础信息!$B$1,"")</f>
        <v/>
      </c>
      <c r="R41" s="229">
        <f t="shared" si="0"/>
        <v>0</v>
      </c>
    </row>
    <row r="42" spans="1:18">
      <c r="A42" t="str">
        <f>IF(OR(R42&gt;0,L42&gt;0),基础信息!$B$1,"")</f>
        <v/>
      </c>
      <c r="R42" s="229">
        <f t="shared" si="0"/>
        <v>0</v>
      </c>
    </row>
    <row r="43" spans="1:18">
      <c r="A43" t="str">
        <f>IF(OR(R43&gt;0,L43&gt;0),基础信息!$B$1,"")</f>
        <v/>
      </c>
      <c r="R43" s="229">
        <f t="shared" si="0"/>
        <v>0</v>
      </c>
    </row>
    <row r="44" spans="1:18">
      <c r="A44" t="str">
        <f>IF(OR(R44&gt;0,L44&gt;0),基础信息!$B$1,"")</f>
        <v/>
      </c>
      <c r="R44" s="229">
        <f t="shared" si="0"/>
        <v>0</v>
      </c>
    </row>
    <row r="45" spans="1:18">
      <c r="A45" t="str">
        <f>IF(OR(R45&gt;0,L45&gt;0),基础信息!$B$1,"")</f>
        <v/>
      </c>
      <c r="R45" s="229">
        <f t="shared" si="0"/>
        <v>0</v>
      </c>
    </row>
    <row r="46" spans="1:18">
      <c r="A46" t="str">
        <f>IF(OR(R46&gt;0,L46&gt;0),基础信息!$B$1,"")</f>
        <v/>
      </c>
      <c r="R46" s="229">
        <f t="shared" si="0"/>
        <v>0</v>
      </c>
    </row>
    <row r="47" spans="1:18">
      <c r="A47" t="str">
        <f>IF(OR(R47&gt;0,L47&gt;0),基础信息!$B$1,"")</f>
        <v/>
      </c>
      <c r="R47" s="229">
        <f t="shared" si="0"/>
        <v>0</v>
      </c>
    </row>
    <row r="48" spans="1:18">
      <c r="A48" t="str">
        <f>IF(OR(R48&gt;0,L48&gt;0),基础信息!$B$1,"")</f>
        <v/>
      </c>
      <c r="R48" s="229">
        <f t="shared" si="0"/>
        <v>0</v>
      </c>
    </row>
    <row r="49" spans="1:18">
      <c r="A49" t="str">
        <f>IF(OR(R49&gt;0,L49&gt;0),基础信息!$B$1,"")</f>
        <v/>
      </c>
      <c r="R49" s="229">
        <f t="shared" si="0"/>
        <v>0</v>
      </c>
    </row>
    <row r="50" spans="1:18">
      <c r="A50" t="str">
        <f>IF(OR(R50&gt;0,L50&gt;0),基础信息!$B$1,"")</f>
        <v/>
      </c>
      <c r="R50" s="229">
        <f t="shared" si="0"/>
        <v>0</v>
      </c>
    </row>
    <row r="51" spans="1:18">
      <c r="A51" t="str">
        <f>IF(OR(R51&gt;0,L51&gt;0),基础信息!$B$1,"")</f>
        <v/>
      </c>
      <c r="R51" s="229">
        <f t="shared" si="0"/>
        <v>0</v>
      </c>
    </row>
    <row r="52" spans="1:18">
      <c r="A52" t="str">
        <f>IF(OR(R52&gt;0,L52&gt;0),基础信息!$B$1,"")</f>
        <v/>
      </c>
      <c r="R52" s="229">
        <f t="shared" si="0"/>
        <v>0</v>
      </c>
    </row>
    <row r="53" spans="1:18">
      <c r="A53" t="str">
        <f>IF(OR(R53&gt;0,L53&gt;0),基础信息!$B$1,"")</f>
        <v/>
      </c>
      <c r="R53" s="229">
        <f t="shared" si="0"/>
        <v>0</v>
      </c>
    </row>
    <row r="54" spans="1:18">
      <c r="A54" t="str">
        <f>IF(OR(R54&gt;0,L54&gt;0),基础信息!$B$1,"")</f>
        <v/>
      </c>
      <c r="R54" s="229">
        <f t="shared" si="0"/>
        <v>0</v>
      </c>
    </row>
    <row r="55" spans="1:18">
      <c r="A55" t="str">
        <f>IF(OR(R55&gt;0,L55&gt;0),基础信息!$B$1,"")</f>
        <v/>
      </c>
      <c r="R55" s="229">
        <f t="shared" si="0"/>
        <v>0</v>
      </c>
    </row>
    <row r="56" spans="1:18">
      <c r="A56" t="str">
        <f>IF(OR(R56&gt;0,L56&gt;0),基础信息!$B$1,"")</f>
        <v/>
      </c>
      <c r="R56" s="229">
        <f t="shared" si="0"/>
        <v>0</v>
      </c>
    </row>
    <row r="57" spans="1:18">
      <c r="A57" t="str">
        <f>IF(OR(R57&gt;0,L57&gt;0),基础信息!$B$1,"")</f>
        <v/>
      </c>
      <c r="R57" s="229">
        <f t="shared" si="0"/>
        <v>0</v>
      </c>
    </row>
    <row r="58" spans="1:18">
      <c r="A58" t="str">
        <f>IF(OR(R58&gt;0,L58&gt;0),基础信息!$B$1,"")</f>
        <v/>
      </c>
      <c r="R58" s="229">
        <f t="shared" si="0"/>
        <v>0</v>
      </c>
    </row>
    <row r="59" spans="1:18">
      <c r="A59" t="str">
        <f>IF(OR(R59&gt;0,L59&gt;0),基础信息!$B$1,"")</f>
        <v/>
      </c>
      <c r="R59" s="229">
        <f t="shared" si="0"/>
        <v>0</v>
      </c>
    </row>
    <row r="60" spans="1:18">
      <c r="A60" t="str">
        <f>IF(OR(R60&gt;0,L60&gt;0),基础信息!$B$1,"")</f>
        <v/>
      </c>
      <c r="R60" s="229">
        <f t="shared" si="0"/>
        <v>0</v>
      </c>
    </row>
    <row r="61" spans="1:18">
      <c r="A61" t="str">
        <f>IF(OR(R61&gt;0,L61&gt;0),基础信息!$B$1,"")</f>
        <v/>
      </c>
      <c r="R61" s="229">
        <f t="shared" si="0"/>
        <v>0</v>
      </c>
    </row>
    <row r="62" spans="1:18">
      <c r="A62" t="str">
        <f>IF(OR(R62&gt;0,L62&gt;0),基础信息!$B$1,"")</f>
        <v/>
      </c>
      <c r="R62" s="229">
        <f t="shared" si="0"/>
        <v>0</v>
      </c>
    </row>
    <row r="63" spans="1:18">
      <c r="A63" t="str">
        <f>IF(OR(R63&gt;0,L63&gt;0),基础信息!$B$1,"")</f>
        <v/>
      </c>
      <c r="R63" s="229">
        <f t="shared" si="0"/>
        <v>0</v>
      </c>
    </row>
    <row r="64" spans="1:18">
      <c r="A64" t="str">
        <f>IF(OR(R64&gt;0,L64&gt;0),基础信息!$B$1,"")</f>
        <v/>
      </c>
      <c r="R64" s="229">
        <f t="shared" si="0"/>
        <v>0</v>
      </c>
    </row>
    <row r="65" spans="1:18">
      <c r="A65" t="str">
        <f>IF(OR(R65&gt;0,L65&gt;0),基础信息!$B$1,"")</f>
        <v/>
      </c>
      <c r="R65" s="229">
        <f t="shared" si="0"/>
        <v>0</v>
      </c>
    </row>
    <row r="66" spans="1:18">
      <c r="A66" t="str">
        <f>IF(OR(R66&gt;0,L66&gt;0),基础信息!$B$1,"")</f>
        <v/>
      </c>
      <c r="R66" s="229">
        <f t="shared" si="0"/>
        <v>0</v>
      </c>
    </row>
    <row r="67" spans="1:18">
      <c r="A67" t="str">
        <f>IF(OR(R67&gt;0,L67&gt;0),基础信息!$B$1,"")</f>
        <v/>
      </c>
      <c r="R67" s="229">
        <f t="shared" ref="R67:R99" si="1">L67+M67+N67-O67-Q67</f>
        <v>0</v>
      </c>
    </row>
    <row r="68" spans="1:18">
      <c r="A68" t="str">
        <f>IF(OR(R68&gt;0,L68&gt;0),基础信息!$B$1,"")</f>
        <v/>
      </c>
      <c r="R68" s="229">
        <f t="shared" si="1"/>
        <v>0</v>
      </c>
    </row>
    <row r="69" spans="1:18">
      <c r="A69" t="str">
        <f>IF(OR(R69&gt;0,L69&gt;0),基础信息!$B$1,"")</f>
        <v/>
      </c>
      <c r="R69" s="229">
        <f t="shared" si="1"/>
        <v>0</v>
      </c>
    </row>
    <row r="70" spans="1:18">
      <c r="A70" t="str">
        <f>IF(OR(R70&gt;0,L70&gt;0),基础信息!$B$1,"")</f>
        <v/>
      </c>
      <c r="R70" s="229">
        <f t="shared" si="1"/>
        <v>0</v>
      </c>
    </row>
    <row r="71" spans="1:18">
      <c r="A71" t="str">
        <f>IF(OR(R71&gt;0,L71&gt;0),基础信息!$B$1,"")</f>
        <v/>
      </c>
      <c r="R71" s="229">
        <f t="shared" si="1"/>
        <v>0</v>
      </c>
    </row>
    <row r="72" spans="1:18">
      <c r="A72" t="str">
        <f>IF(OR(R72&gt;0,L72&gt;0),基础信息!$B$1,"")</f>
        <v/>
      </c>
      <c r="R72" s="229">
        <f t="shared" si="1"/>
        <v>0</v>
      </c>
    </row>
    <row r="73" spans="1:18">
      <c r="A73" t="str">
        <f>IF(OR(R73&gt;0,L73&gt;0),基础信息!$B$1,"")</f>
        <v/>
      </c>
      <c r="R73" s="229">
        <f t="shared" si="1"/>
        <v>0</v>
      </c>
    </row>
    <row r="74" spans="1:18">
      <c r="A74" t="str">
        <f>IF(OR(R74&gt;0,L74&gt;0),基础信息!$B$1,"")</f>
        <v/>
      </c>
      <c r="R74" s="229">
        <f t="shared" si="1"/>
        <v>0</v>
      </c>
    </row>
    <row r="75" spans="1:18">
      <c r="A75" t="str">
        <f>IF(OR(R75&gt;0,L75&gt;0),基础信息!$B$1,"")</f>
        <v/>
      </c>
      <c r="R75" s="229">
        <f t="shared" si="1"/>
        <v>0</v>
      </c>
    </row>
    <row r="76" spans="1:18">
      <c r="A76" t="str">
        <f>IF(OR(R76&gt;0,L76&gt;0),基础信息!$B$1,"")</f>
        <v/>
      </c>
      <c r="R76" s="229">
        <f t="shared" si="1"/>
        <v>0</v>
      </c>
    </row>
    <row r="77" spans="1:18">
      <c r="A77" t="str">
        <f>IF(OR(R77&gt;0,L77&gt;0),基础信息!$B$1,"")</f>
        <v/>
      </c>
      <c r="R77" s="229">
        <f t="shared" si="1"/>
        <v>0</v>
      </c>
    </row>
    <row r="78" spans="1:18">
      <c r="A78" t="str">
        <f>IF(OR(R78&gt;0,L78&gt;0),基础信息!$B$1,"")</f>
        <v/>
      </c>
      <c r="R78" s="229">
        <f t="shared" si="1"/>
        <v>0</v>
      </c>
    </row>
    <row r="79" spans="1:18">
      <c r="A79" t="str">
        <f>IF(OR(R79&gt;0,L79&gt;0),基础信息!$B$1,"")</f>
        <v/>
      </c>
      <c r="R79" s="229">
        <f t="shared" si="1"/>
        <v>0</v>
      </c>
    </row>
    <row r="80" spans="1:18">
      <c r="A80" t="str">
        <f>IF(OR(R80&gt;0,L80&gt;0),基础信息!$B$1,"")</f>
        <v/>
      </c>
      <c r="R80" s="229">
        <f t="shared" si="1"/>
        <v>0</v>
      </c>
    </row>
    <row r="81" spans="1:18">
      <c r="A81" t="str">
        <f>IF(OR(R81&gt;0,L81&gt;0),基础信息!$B$1,"")</f>
        <v/>
      </c>
      <c r="R81" s="229">
        <f t="shared" si="1"/>
        <v>0</v>
      </c>
    </row>
    <row r="82" spans="1:18">
      <c r="A82" t="str">
        <f>IF(OR(R82&gt;0,L82&gt;0),基础信息!$B$1,"")</f>
        <v/>
      </c>
      <c r="R82" s="229">
        <f t="shared" si="1"/>
        <v>0</v>
      </c>
    </row>
    <row r="83" spans="1:18">
      <c r="A83" t="str">
        <f>IF(OR(R83&gt;0,L83&gt;0),基础信息!$B$1,"")</f>
        <v/>
      </c>
      <c r="R83" s="229">
        <f t="shared" si="1"/>
        <v>0</v>
      </c>
    </row>
    <row r="84" spans="1:18">
      <c r="A84" t="str">
        <f>IF(OR(R84&gt;0,L84&gt;0),基础信息!$B$1,"")</f>
        <v/>
      </c>
      <c r="R84" s="229">
        <f t="shared" si="1"/>
        <v>0</v>
      </c>
    </row>
    <row r="85" spans="1:18">
      <c r="A85" t="str">
        <f>IF(OR(R85&gt;0,L85&gt;0),基础信息!$B$1,"")</f>
        <v/>
      </c>
      <c r="R85" s="229">
        <f t="shared" si="1"/>
        <v>0</v>
      </c>
    </row>
    <row r="86" spans="1:18">
      <c r="A86" t="str">
        <f>IF(OR(R86&gt;0,L86&gt;0),基础信息!$B$1,"")</f>
        <v/>
      </c>
      <c r="R86" s="229">
        <f t="shared" si="1"/>
        <v>0</v>
      </c>
    </row>
    <row r="87" spans="1:18">
      <c r="A87" t="str">
        <f>IF(OR(R87&gt;0,L87&gt;0),基础信息!$B$1,"")</f>
        <v/>
      </c>
      <c r="R87" s="229">
        <f t="shared" si="1"/>
        <v>0</v>
      </c>
    </row>
    <row r="88" spans="1:18">
      <c r="A88" t="str">
        <f>IF(OR(R88&gt;0,L88&gt;0),基础信息!$B$1,"")</f>
        <v/>
      </c>
      <c r="R88" s="229">
        <f t="shared" si="1"/>
        <v>0</v>
      </c>
    </row>
    <row r="89" spans="1:18">
      <c r="A89" t="str">
        <f>IF(OR(R89&gt;0,L89&gt;0),基础信息!$B$1,"")</f>
        <v/>
      </c>
      <c r="R89" s="229">
        <f t="shared" si="1"/>
        <v>0</v>
      </c>
    </row>
    <row r="90" spans="1:18">
      <c r="A90" t="str">
        <f>IF(OR(R90&gt;0,L90&gt;0),基础信息!$B$1,"")</f>
        <v/>
      </c>
      <c r="R90" s="229">
        <f t="shared" si="1"/>
        <v>0</v>
      </c>
    </row>
    <row r="91" spans="1:18">
      <c r="A91" t="str">
        <f>IF(OR(R91&gt;0,L91&gt;0),基础信息!$B$1,"")</f>
        <v/>
      </c>
      <c r="R91" s="229">
        <f t="shared" si="1"/>
        <v>0</v>
      </c>
    </row>
    <row r="92" spans="1:18">
      <c r="A92" t="str">
        <f>IF(OR(R92&gt;0,L92&gt;0),基础信息!$B$1,"")</f>
        <v/>
      </c>
      <c r="R92" s="229">
        <f t="shared" si="1"/>
        <v>0</v>
      </c>
    </row>
    <row r="93" spans="1:18">
      <c r="A93" t="str">
        <f>IF(OR(R93&gt;0,L93&gt;0),基础信息!$B$1,"")</f>
        <v/>
      </c>
      <c r="R93" s="229">
        <f t="shared" si="1"/>
        <v>0</v>
      </c>
    </row>
    <row r="94" spans="1:18">
      <c r="A94" t="str">
        <f>IF(OR(R94&gt;0,L94&gt;0),基础信息!$B$1,"")</f>
        <v/>
      </c>
      <c r="R94" s="229">
        <f t="shared" si="1"/>
        <v>0</v>
      </c>
    </row>
    <row r="95" spans="1:18">
      <c r="A95" t="str">
        <f>IF(OR(R95&gt;0,L95&gt;0),基础信息!$B$1,"")</f>
        <v/>
      </c>
      <c r="R95" s="229">
        <f t="shared" si="1"/>
        <v>0</v>
      </c>
    </row>
    <row r="96" spans="1:18">
      <c r="A96" t="str">
        <f>IF(OR(R96&gt;0,L96&gt;0),基础信息!$B$1,"")</f>
        <v/>
      </c>
      <c r="R96" s="229">
        <f t="shared" si="1"/>
        <v>0</v>
      </c>
    </row>
    <row r="97" spans="1:18">
      <c r="A97" t="str">
        <f>IF(OR(R97&gt;0,L97&gt;0),基础信息!$B$1,"")</f>
        <v/>
      </c>
      <c r="R97" s="229">
        <f t="shared" si="1"/>
        <v>0</v>
      </c>
    </row>
    <row r="98" spans="1:18">
      <c r="A98" t="str">
        <f>IF(OR(R98&gt;0,L98&gt;0),基础信息!$B$1,"")</f>
        <v/>
      </c>
      <c r="R98" s="229">
        <f t="shared" si="1"/>
        <v>0</v>
      </c>
    </row>
    <row r="99" spans="1:18">
      <c r="A99" t="str">
        <f>IF(OR(R99&gt;0,L99&gt;0),基础信息!$B$1,"")</f>
        <v/>
      </c>
      <c r="R99" s="229">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C61A2CE-7F24-4130-97FC-43C1AA69D3FA}">
          <x14:formula1>
            <xm:f>分类表!$32:$32</xm:f>
          </x14:formula1>
          <xm:sqref>D2:D34</xm:sqref>
        </x14:dataValidation>
        <x14:dataValidation type="list" allowBlank="1" showInputMessage="1" showErrorMessage="1" xr:uid="{E371BC2A-EEB0-4C6F-B537-E4F13E8FDCC9}">
          <x14:formula1>
            <xm:f>分类表!$2:$2</xm:f>
          </x14:formula1>
          <xm:sqref>E2:E30</xm:sqref>
        </x14:dataValidation>
      </x14:dataValidations>
    </ext>
  </extLst>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codeName="Sheet246">
    <tabColor rgb="FFFFC000"/>
  </sheetPr>
  <dimension ref="A1:E10"/>
  <sheetViews>
    <sheetView workbookViewId="0">
      <selection activeCell="E22" sqref="E22"/>
    </sheetView>
  </sheetViews>
  <sheetFormatPr defaultRowHeight="13.8"/>
  <cols>
    <col min="1" max="1" width="74.21875" style="18" bestFit="1" customWidth="1"/>
    <col min="2" max="3" width="8.88671875" style="18"/>
    <col min="4" max="4" width="8.88671875" style="150"/>
    <col min="5" max="16384" width="8.88671875" style="18"/>
  </cols>
  <sheetData>
    <row r="1" spans="1:5" ht="14.4">
      <c r="A1" s="35" t="s">
        <v>28</v>
      </c>
      <c r="B1" s="35" t="s">
        <v>199</v>
      </c>
      <c r="C1" s="20" t="s">
        <v>3610</v>
      </c>
      <c r="D1" s="241"/>
      <c r="E1" s="35"/>
    </row>
    <row r="2" spans="1:5" ht="14.4">
      <c r="A2" s="265"/>
      <c r="B2" s="565"/>
      <c r="C2" s="304"/>
      <c r="D2" s="305"/>
      <c r="E2" s="154"/>
    </row>
    <row r="3" spans="1:5" ht="14.4">
      <c r="A3" s="265"/>
      <c r="B3" s="565"/>
      <c r="C3" s="304"/>
      <c r="D3" s="305"/>
      <c r="E3" s="154"/>
    </row>
    <row r="4" spans="1:5" ht="14.4">
      <c r="A4" s="265"/>
      <c r="B4" s="565"/>
      <c r="C4" s="304"/>
      <c r="D4" s="305"/>
      <c r="E4" s="154"/>
    </row>
    <row r="5" spans="1:5" ht="14.4">
      <c r="A5" s="265"/>
      <c r="B5" s="565"/>
      <c r="C5" s="304"/>
      <c r="D5" s="305"/>
      <c r="E5" s="154"/>
    </row>
    <row r="6" spans="1:5" ht="14.4">
      <c r="A6" s="265"/>
      <c r="B6" s="266"/>
      <c r="C6" s="267"/>
      <c r="D6" s="293"/>
      <c r="E6" s="154"/>
    </row>
    <row r="7" spans="1:5" ht="14.4">
      <c r="A7" s="265"/>
      <c r="B7" s="266"/>
      <c r="C7" s="267"/>
      <c r="D7" s="293"/>
      <c r="E7" s="154"/>
    </row>
    <row r="8" spans="1:5" ht="14.4">
      <c r="A8" s="535"/>
      <c r="B8" s="266"/>
      <c r="C8" s="267"/>
      <c r="D8" s="293"/>
      <c r="E8" s="154"/>
    </row>
    <row r="9" spans="1:5" ht="14.4">
      <c r="A9" s="265"/>
      <c r="B9" s="266"/>
      <c r="C9" s="267"/>
      <c r="D9" s="293"/>
      <c r="E9" s="154"/>
    </row>
    <row r="10" spans="1:5" ht="14.4">
      <c r="A10" s="35" t="s">
        <v>204</v>
      </c>
      <c r="B10" s="155">
        <f>ROUND(SUM(B2:B9),2)</f>
        <v>0</v>
      </c>
      <c r="C10" s="155">
        <f>ROUND(SUM(C2:C9),2)</f>
        <v>0</v>
      </c>
      <c r="D10" s="292"/>
      <c r="E10" s="155"/>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codeName="Sheet247">
    <tabColor rgb="FFFFC000"/>
  </sheetPr>
  <dimension ref="A1:C8"/>
  <sheetViews>
    <sheetView workbookViewId="0">
      <selection activeCell="F18" sqref="F18"/>
    </sheetView>
  </sheetViews>
  <sheetFormatPr defaultRowHeight="13.8"/>
  <cols>
    <col min="1" max="1" width="55.5546875" style="18" bestFit="1" customWidth="1"/>
    <col min="2" max="2" width="11.6640625" style="18" bestFit="1" customWidth="1"/>
    <col min="3" max="16384" width="8.88671875" style="18"/>
  </cols>
  <sheetData>
    <row r="1" spans="1:3" ht="14.4">
      <c r="A1" s="35" t="s">
        <v>28</v>
      </c>
      <c r="B1" s="35" t="s">
        <v>199</v>
      </c>
      <c r="C1" s="18" t="s">
        <v>200</v>
      </c>
    </row>
    <row r="2" spans="1:3" ht="14.4">
      <c r="A2" s="265"/>
      <c r="B2" s="536"/>
      <c r="C2" s="246"/>
    </row>
    <row r="3" spans="1:3" ht="14.4">
      <c r="A3" s="265"/>
      <c r="B3" s="536"/>
      <c r="C3" s="246"/>
    </row>
    <row r="4" spans="1:3">
      <c r="A4" s="283"/>
      <c r="B4" s="536"/>
      <c r="C4" s="246"/>
    </row>
    <row r="5" spans="1:3">
      <c r="A5" s="283"/>
      <c r="B5" s="536"/>
      <c r="C5" s="246"/>
    </row>
    <row r="6" spans="1:3" ht="14.4">
      <c r="A6" s="265"/>
      <c r="B6" s="536"/>
      <c r="C6" s="246"/>
    </row>
    <row r="7" spans="1:3" ht="14.4">
      <c r="A7" s="265"/>
      <c r="B7" s="536"/>
      <c r="C7" s="246"/>
    </row>
    <row r="8" spans="1:3" ht="14.4">
      <c r="A8" s="35" t="s">
        <v>204</v>
      </c>
      <c r="B8" s="39">
        <f>ROUND(SUM(B2:B7),2)</f>
        <v>0</v>
      </c>
      <c r="C8" s="39">
        <f>ROUND(SUM(C2:C7),2)</f>
        <v>0</v>
      </c>
    </row>
  </sheetData>
  <phoneticPr fontId="1" type="noConversion"/>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codeName="Sheet248">
    <tabColor rgb="FFFFC000"/>
  </sheetPr>
  <dimension ref="A1:C6"/>
  <sheetViews>
    <sheetView workbookViewId="0">
      <selection activeCell="F17" sqref="F17"/>
    </sheetView>
  </sheetViews>
  <sheetFormatPr defaultRowHeight="13.8"/>
  <cols>
    <col min="1" max="1" width="34.109375" style="18" customWidth="1"/>
    <col min="2" max="16384" width="8.88671875" style="18"/>
  </cols>
  <sheetData>
    <row r="1" spans="1:3" ht="14.4">
      <c r="A1" s="19" t="s">
        <v>28</v>
      </c>
      <c r="B1" s="20" t="s">
        <v>203</v>
      </c>
      <c r="C1" s="20" t="s">
        <v>265</v>
      </c>
    </row>
    <row r="2" spans="1:3" ht="14.4">
      <c r="A2" s="268" t="s">
        <v>497</v>
      </c>
      <c r="B2" s="280"/>
      <c r="C2" s="280"/>
    </row>
    <row r="3" spans="1:3" ht="14.4">
      <c r="A3" s="268" t="s">
        <v>498</v>
      </c>
      <c r="B3" s="280"/>
      <c r="C3" s="280"/>
    </row>
    <row r="4" spans="1:3" ht="14.4">
      <c r="A4" s="268" t="s">
        <v>499</v>
      </c>
      <c r="B4" s="280"/>
      <c r="C4" s="280"/>
    </row>
    <row r="5" spans="1:3" ht="14.4">
      <c r="A5" s="268" t="s">
        <v>13</v>
      </c>
      <c r="B5" s="280"/>
      <c r="C5" s="280"/>
    </row>
    <row r="6" spans="1:3" ht="14.4">
      <c r="A6" s="19" t="s">
        <v>204</v>
      </c>
      <c r="B6" s="21">
        <f>ROUND(SUM(B2:B5),2)</f>
        <v>0</v>
      </c>
      <c r="C6" s="21">
        <f>ROUND(SUM(C2:C5),2)</f>
        <v>0</v>
      </c>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codeName="Sheet249">
    <tabColor rgb="FFFFC000"/>
  </sheetPr>
  <dimension ref="A1:C4"/>
  <sheetViews>
    <sheetView workbookViewId="0">
      <selection activeCell="I17" sqref="I17:I18"/>
    </sheetView>
  </sheetViews>
  <sheetFormatPr defaultRowHeight="13.8"/>
  <cols>
    <col min="1" max="1" width="19.5546875" style="18" customWidth="1"/>
    <col min="2" max="16384" width="8.88671875" style="18"/>
  </cols>
  <sheetData>
    <row r="1" spans="1:3" ht="14.4">
      <c r="A1" s="19" t="s">
        <v>28</v>
      </c>
      <c r="B1" s="20" t="s">
        <v>203</v>
      </c>
      <c r="C1" s="20" t="s">
        <v>265</v>
      </c>
    </row>
    <row r="2" spans="1:3" ht="14.4">
      <c r="A2" s="19" t="s">
        <v>207</v>
      </c>
      <c r="B2" s="280"/>
      <c r="C2" s="280"/>
    </row>
    <row r="3" spans="1:3" ht="14.4">
      <c r="A3" s="19" t="s">
        <v>206</v>
      </c>
      <c r="B3" s="280"/>
      <c r="C3" s="280"/>
    </row>
    <row r="4" spans="1:3" ht="14.4">
      <c r="A4" s="19" t="s">
        <v>204</v>
      </c>
      <c r="B4" s="21">
        <f>ROUND(SUM(B2:B3),2)</f>
        <v>0</v>
      </c>
      <c r="C4" s="21">
        <f>ROUND(SUM(C2:C3),2)</f>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codeName="Sheet250">
    <tabColor rgb="FFFFC000"/>
  </sheetPr>
  <dimension ref="A1:C6"/>
  <sheetViews>
    <sheetView workbookViewId="0">
      <selection activeCell="F14" sqref="F14"/>
    </sheetView>
  </sheetViews>
  <sheetFormatPr defaultRowHeight="13.8"/>
  <cols>
    <col min="1" max="1" width="18.5546875" style="18" bestFit="1" customWidth="1"/>
    <col min="2" max="3" width="9.5546875" style="18" bestFit="1" customWidth="1"/>
    <col min="4" max="16384" width="8.88671875" style="18"/>
  </cols>
  <sheetData>
    <row r="1" spans="1:3" ht="14.4">
      <c r="A1" s="20" t="s">
        <v>243</v>
      </c>
      <c r="B1" s="20" t="s">
        <v>203</v>
      </c>
      <c r="C1" s="20" t="s">
        <v>265</v>
      </c>
    </row>
    <row r="2" spans="1:3" ht="14.4">
      <c r="A2" s="42" t="s">
        <v>500</v>
      </c>
      <c r="B2" s="151">
        <f>ROUND(SUM(应付账款明细表!E:E),2)</f>
        <v>0</v>
      </c>
      <c r="C2" s="278"/>
    </row>
    <row r="3" spans="1:3" ht="14.4">
      <c r="A3" s="42" t="s">
        <v>501</v>
      </c>
      <c r="B3" s="151">
        <f>ROUND(SUM(应付账款明细表!F:F),2)</f>
        <v>0</v>
      </c>
      <c r="C3" s="278"/>
    </row>
    <row r="4" spans="1:3" ht="14.4">
      <c r="A4" s="42" t="s">
        <v>502</v>
      </c>
      <c r="B4" s="151">
        <f>ROUND(SUM(应付账款明细表!G:G),2)</f>
        <v>0</v>
      </c>
      <c r="C4" s="278"/>
    </row>
    <row r="5" spans="1:3" ht="14.4">
      <c r="A5" s="42" t="s">
        <v>503</v>
      </c>
      <c r="B5" s="151">
        <f>ROUND(SUM(应付账款明细表!H:H),2)</f>
        <v>0</v>
      </c>
      <c r="C5" s="278"/>
    </row>
    <row r="6" spans="1:3" ht="14.4">
      <c r="A6" s="20" t="s">
        <v>204</v>
      </c>
      <c r="B6" s="151">
        <f>ROUND(SUM(B2:B5),2)</f>
        <v>0</v>
      </c>
      <c r="C6" s="151">
        <f>ROUND(SUM(C2:C5),2)</f>
        <v>0</v>
      </c>
    </row>
  </sheetData>
  <phoneticPr fontId="1" type="noConversion"/>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codeName="Sheet251">
    <tabColor rgb="FFFFC000"/>
  </sheetPr>
  <dimension ref="A1:C5"/>
  <sheetViews>
    <sheetView workbookViewId="0">
      <selection activeCell="I18" sqref="I18"/>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504</v>
      </c>
      <c r="B1" s="35" t="s">
        <v>199</v>
      </c>
      <c r="C1" s="35" t="s">
        <v>505</v>
      </c>
    </row>
    <row r="2" spans="1:3" ht="14.4">
      <c r="A2" s="328"/>
      <c r="B2" s="314"/>
      <c r="C2" s="328"/>
    </row>
    <row r="3" spans="1:3" ht="14.4">
      <c r="A3" s="328"/>
      <c r="B3" s="314"/>
      <c r="C3" s="328"/>
    </row>
    <row r="4" spans="1:3" ht="14.4">
      <c r="A4" s="329"/>
      <c r="B4" s="314"/>
      <c r="C4" s="328"/>
    </row>
    <row r="5" spans="1:3" ht="14.4">
      <c r="A5" s="35" t="s">
        <v>204</v>
      </c>
      <c r="B5" s="39">
        <f>ROUND(SUM(B2:B4),2)</f>
        <v>0</v>
      </c>
      <c r="C5" s="41" t="s">
        <v>235</v>
      </c>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sheetPr codeName="Sheet252"/>
  <dimension ref="A1:J90"/>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25" t="s">
        <v>1976</v>
      </c>
      <c r="B1" s="325" t="s">
        <v>2491</v>
      </c>
      <c r="C1" s="326" t="s">
        <v>183</v>
      </c>
      <c r="D1" s="326" t="s">
        <v>2492</v>
      </c>
      <c r="E1" s="326" t="s">
        <v>2493</v>
      </c>
      <c r="F1" s="326" t="s">
        <v>259</v>
      </c>
      <c r="G1" s="326" t="s">
        <v>260</v>
      </c>
      <c r="H1" s="326" t="s">
        <v>261</v>
      </c>
      <c r="I1" s="327" t="s">
        <v>204</v>
      </c>
      <c r="J1" s="326" t="s">
        <v>2351</v>
      </c>
    </row>
    <row r="2" spans="1:10">
      <c r="A2" s="229" t="str">
        <f>IF(C2&gt;0,基础信息!$B$1,"")</f>
        <v/>
      </c>
      <c r="B2" s="255"/>
      <c r="C2" s="255"/>
      <c r="D2" s="255"/>
      <c r="E2" s="255"/>
      <c r="F2" s="255"/>
      <c r="G2" s="255"/>
      <c r="H2" s="255"/>
      <c r="I2" s="229">
        <f>SUM(E2:H2)</f>
        <v>0</v>
      </c>
      <c r="J2" s="230">
        <f>C2-I2</f>
        <v>0</v>
      </c>
    </row>
    <row r="3" spans="1:10">
      <c r="A3" s="229" t="str">
        <f>IF(C3&gt;0,基础信息!$B$1,"")</f>
        <v/>
      </c>
      <c r="B3" s="255"/>
      <c r="C3" s="255"/>
      <c r="D3" s="255"/>
      <c r="E3" s="255"/>
      <c r="F3" s="255"/>
      <c r="G3" s="255"/>
      <c r="H3" s="255"/>
      <c r="I3" s="229">
        <f t="shared" ref="I3:I21" si="0">SUM(E3:H3)</f>
        <v>0</v>
      </c>
      <c r="J3" s="230">
        <f t="shared" ref="J3:J21" si="1">C3-I3</f>
        <v>0</v>
      </c>
    </row>
    <row r="4" spans="1:10">
      <c r="A4" s="229" t="str">
        <f>IF(C4&gt;0,基础信息!$B$1,"")</f>
        <v/>
      </c>
      <c r="B4" s="255"/>
      <c r="C4" s="255"/>
      <c r="D4" s="255"/>
      <c r="E4" s="255"/>
      <c r="F4" s="255"/>
      <c r="G4" s="255"/>
      <c r="H4" s="255"/>
      <c r="I4" s="229">
        <f t="shared" si="0"/>
        <v>0</v>
      </c>
      <c r="J4" s="230">
        <f t="shared" si="1"/>
        <v>0</v>
      </c>
    </row>
    <row r="5" spans="1:10">
      <c r="A5" s="229" t="str">
        <f>IF(C5&gt;0,基础信息!$B$1,"")</f>
        <v/>
      </c>
      <c r="B5" s="255"/>
      <c r="C5" s="255"/>
      <c r="D5" s="255"/>
      <c r="E5" s="255"/>
      <c r="F5" s="255"/>
      <c r="G5" s="255"/>
      <c r="H5" s="255"/>
      <c r="I5" s="229">
        <f t="shared" si="0"/>
        <v>0</v>
      </c>
      <c r="J5" s="230">
        <f t="shared" si="1"/>
        <v>0</v>
      </c>
    </row>
    <row r="6" spans="1:10">
      <c r="A6" s="229" t="str">
        <f>IF(C6&gt;0,基础信息!$B$1,"")</f>
        <v/>
      </c>
      <c r="B6" s="255"/>
      <c r="C6" s="255"/>
      <c r="D6" s="255"/>
      <c r="E6" s="255"/>
      <c r="F6" s="255"/>
      <c r="G6" s="255"/>
      <c r="H6" s="255"/>
      <c r="I6" s="229">
        <f t="shared" si="0"/>
        <v>0</v>
      </c>
      <c r="J6" s="230">
        <f t="shared" si="1"/>
        <v>0</v>
      </c>
    </row>
    <row r="7" spans="1:10">
      <c r="A7" s="229" t="str">
        <f>IF(C7&gt;0,基础信息!$B$1,"")</f>
        <v/>
      </c>
      <c r="B7" s="255"/>
      <c r="C7" s="255"/>
      <c r="D7" s="255"/>
      <c r="E7" s="255"/>
      <c r="F7" s="255"/>
      <c r="G7" s="255"/>
      <c r="H7" s="255"/>
      <c r="I7" s="229">
        <f t="shared" si="0"/>
        <v>0</v>
      </c>
      <c r="J7" s="230">
        <f t="shared" si="1"/>
        <v>0</v>
      </c>
    </row>
    <row r="8" spans="1:10">
      <c r="A8" s="229" t="str">
        <f>IF(C8&gt;0,基础信息!$B$1,"")</f>
        <v/>
      </c>
      <c r="B8" s="255"/>
      <c r="C8" s="255"/>
      <c r="D8" s="255"/>
      <c r="E8" s="255"/>
      <c r="F8" s="255"/>
      <c r="G8" s="255"/>
      <c r="H8" s="255"/>
      <c r="I8" s="229">
        <f t="shared" si="0"/>
        <v>0</v>
      </c>
      <c r="J8" s="230">
        <f t="shared" si="1"/>
        <v>0</v>
      </c>
    </row>
    <row r="9" spans="1:10">
      <c r="A9" s="229" t="str">
        <f>IF(C9&gt;0,基础信息!$B$1,"")</f>
        <v/>
      </c>
      <c r="B9" s="255"/>
      <c r="C9" s="255"/>
      <c r="D9" s="255"/>
      <c r="E9" s="255"/>
      <c r="F9" s="255"/>
      <c r="G9" s="255"/>
      <c r="H9" s="255"/>
      <c r="I9" s="229">
        <f t="shared" si="0"/>
        <v>0</v>
      </c>
      <c r="J9" s="230">
        <f t="shared" si="1"/>
        <v>0</v>
      </c>
    </row>
    <row r="10" spans="1:10">
      <c r="A10" s="229" t="str">
        <f>IF(C10&gt;0,基础信息!$B$1,"")</f>
        <v/>
      </c>
      <c r="B10" s="255"/>
      <c r="C10" s="255"/>
      <c r="D10" s="255"/>
      <c r="E10" s="255"/>
      <c r="F10" s="255"/>
      <c r="G10" s="255"/>
      <c r="H10" s="255"/>
      <c r="I10" s="229">
        <f t="shared" si="0"/>
        <v>0</v>
      </c>
      <c r="J10" s="230">
        <f t="shared" si="1"/>
        <v>0</v>
      </c>
    </row>
    <row r="11" spans="1:10">
      <c r="A11" s="229" t="str">
        <f>IF(C11&gt;0,基础信息!$B$1,"")</f>
        <v/>
      </c>
      <c r="B11" s="255"/>
      <c r="C11" s="255"/>
      <c r="D11" s="255"/>
      <c r="E11" s="255"/>
      <c r="F11" s="255"/>
      <c r="G11" s="255"/>
      <c r="H11" s="255"/>
      <c r="I11" s="229">
        <f t="shared" si="0"/>
        <v>0</v>
      </c>
      <c r="J11" s="230">
        <f t="shared" si="1"/>
        <v>0</v>
      </c>
    </row>
    <row r="12" spans="1:10">
      <c r="A12" s="229" t="str">
        <f>IF(C12&gt;0,基础信息!$B$1,"")</f>
        <v/>
      </c>
      <c r="B12" s="255"/>
      <c r="C12" s="255"/>
      <c r="D12" s="255"/>
      <c r="E12" s="255"/>
      <c r="F12" s="255"/>
      <c r="G12" s="255"/>
      <c r="H12" s="255"/>
      <c r="I12" s="229">
        <f t="shared" si="0"/>
        <v>0</v>
      </c>
      <c r="J12" s="230">
        <f t="shared" si="1"/>
        <v>0</v>
      </c>
    </row>
    <row r="13" spans="1:10">
      <c r="A13" s="229" t="str">
        <f>IF(C13&gt;0,基础信息!$B$1,"")</f>
        <v/>
      </c>
      <c r="B13" s="255"/>
      <c r="C13" s="255"/>
      <c r="D13" s="255"/>
      <c r="E13" s="255"/>
      <c r="F13" s="255"/>
      <c r="G13" s="255"/>
      <c r="H13" s="255"/>
      <c r="I13" s="229">
        <f t="shared" si="0"/>
        <v>0</v>
      </c>
      <c r="J13" s="230">
        <f t="shared" si="1"/>
        <v>0</v>
      </c>
    </row>
    <row r="14" spans="1:10">
      <c r="A14" s="229" t="str">
        <f>IF(C14&gt;0,基础信息!$B$1,"")</f>
        <v/>
      </c>
      <c r="B14" s="255"/>
      <c r="C14" s="255"/>
      <c r="D14" s="255"/>
      <c r="E14" s="255"/>
      <c r="F14" s="255"/>
      <c r="G14" s="255"/>
      <c r="H14" s="255"/>
      <c r="I14" s="229">
        <f t="shared" si="0"/>
        <v>0</v>
      </c>
      <c r="J14" s="230">
        <f t="shared" si="1"/>
        <v>0</v>
      </c>
    </row>
    <row r="15" spans="1:10">
      <c r="A15" s="229" t="str">
        <f>IF(C15&gt;0,基础信息!$B$1,"")</f>
        <v/>
      </c>
      <c r="B15" s="255"/>
      <c r="C15" s="255"/>
      <c r="D15" s="255"/>
      <c r="E15" s="255"/>
      <c r="F15" s="255"/>
      <c r="G15" s="255"/>
      <c r="H15" s="255"/>
      <c r="I15" s="229">
        <f t="shared" si="0"/>
        <v>0</v>
      </c>
      <c r="J15" s="230">
        <f t="shared" si="1"/>
        <v>0</v>
      </c>
    </row>
    <row r="16" spans="1:10">
      <c r="A16" s="229" t="str">
        <f>IF(C16&gt;0,基础信息!$B$1,"")</f>
        <v/>
      </c>
      <c r="B16" s="255"/>
      <c r="C16" s="255"/>
      <c r="D16" s="255"/>
      <c r="E16" s="255"/>
      <c r="F16" s="255"/>
      <c r="G16" s="255"/>
      <c r="H16" s="255"/>
      <c r="I16" s="229">
        <f t="shared" si="0"/>
        <v>0</v>
      </c>
      <c r="J16" s="230">
        <f t="shared" si="1"/>
        <v>0</v>
      </c>
    </row>
    <row r="17" spans="1:10">
      <c r="A17" s="229" t="str">
        <f>IF(C17&gt;0,基础信息!$B$1,"")</f>
        <v/>
      </c>
      <c r="B17" s="255"/>
      <c r="C17" s="255"/>
      <c r="D17" s="255"/>
      <c r="E17" s="255"/>
      <c r="F17" s="255"/>
      <c r="G17" s="255"/>
      <c r="H17" s="255"/>
      <c r="I17" s="229">
        <f t="shared" si="0"/>
        <v>0</v>
      </c>
      <c r="J17" s="230">
        <f t="shared" si="1"/>
        <v>0</v>
      </c>
    </row>
    <row r="18" spans="1:10">
      <c r="A18" s="229" t="str">
        <f>IF(C18&gt;0,基础信息!$B$1,"")</f>
        <v/>
      </c>
      <c r="B18" s="255"/>
      <c r="C18" s="255"/>
      <c r="D18" s="255"/>
      <c r="E18" s="255"/>
      <c r="F18" s="255"/>
      <c r="G18" s="255"/>
      <c r="H18" s="255"/>
      <c r="I18" s="229">
        <f t="shared" si="0"/>
        <v>0</v>
      </c>
      <c r="J18" s="230">
        <f t="shared" si="1"/>
        <v>0</v>
      </c>
    </row>
    <row r="19" spans="1:10">
      <c r="A19" s="229" t="str">
        <f>IF(C19&gt;0,基础信息!$B$1,"")</f>
        <v/>
      </c>
      <c r="B19" s="255"/>
      <c r="C19" s="255"/>
      <c r="D19" s="255"/>
      <c r="E19" s="255"/>
      <c r="F19" s="255"/>
      <c r="G19" s="255"/>
      <c r="H19" s="255"/>
      <c r="I19" s="229">
        <f t="shared" si="0"/>
        <v>0</v>
      </c>
      <c r="J19" s="230">
        <f t="shared" si="1"/>
        <v>0</v>
      </c>
    </row>
    <row r="20" spans="1:10">
      <c r="A20" s="229" t="str">
        <f>IF(C20&gt;0,基础信息!$B$1,"")</f>
        <v/>
      </c>
      <c r="B20" s="255"/>
      <c r="C20" s="255"/>
      <c r="D20" s="255"/>
      <c r="E20" s="255"/>
      <c r="F20" s="255"/>
      <c r="G20" s="255"/>
      <c r="H20" s="255"/>
      <c r="I20" s="229">
        <f t="shared" si="0"/>
        <v>0</v>
      </c>
      <c r="J20" s="230">
        <f t="shared" si="1"/>
        <v>0</v>
      </c>
    </row>
    <row r="21" spans="1:10">
      <c r="A21" s="229" t="str">
        <f>IF(C21&gt;0,基础信息!$B$1,"")</f>
        <v/>
      </c>
      <c r="B21" s="255"/>
      <c r="C21" s="255"/>
      <c r="D21" s="255"/>
      <c r="E21" s="255"/>
      <c r="F21" s="255"/>
      <c r="G21" s="255"/>
      <c r="H21" s="255"/>
      <c r="I21" s="229">
        <f t="shared" si="0"/>
        <v>0</v>
      </c>
      <c r="J21" s="230">
        <f t="shared" si="1"/>
        <v>0</v>
      </c>
    </row>
    <row r="22" spans="1:10">
      <c r="A22" s="229" t="str">
        <f>IF(C22&gt;0,基础信息!$B$1,"")</f>
        <v/>
      </c>
    </row>
    <row r="23" spans="1:10">
      <c r="A23" s="229" t="str">
        <f>IF(C23&gt;0,基础信息!$B$1,"")</f>
        <v/>
      </c>
    </row>
    <row r="24" spans="1:10">
      <c r="A24" s="229" t="str">
        <f>IF(C24&gt;0,基础信息!$B$1,"")</f>
        <v/>
      </c>
    </row>
    <row r="25" spans="1:10">
      <c r="A25" s="229" t="str">
        <f>IF(C25&gt;0,基础信息!$B$1,"")</f>
        <v/>
      </c>
    </row>
    <row r="26" spans="1:10">
      <c r="A26" s="229" t="str">
        <f>IF(C26&gt;0,基础信息!$B$1,"")</f>
        <v/>
      </c>
    </row>
    <row r="27" spans="1:10">
      <c r="A27" s="229" t="str">
        <f>IF(C27&gt;0,基础信息!$B$1,"")</f>
        <v/>
      </c>
    </row>
    <row r="28" spans="1:10">
      <c r="A28" s="229" t="str">
        <f>IF(C28&gt;0,基础信息!$B$1,"")</f>
        <v/>
      </c>
    </row>
    <row r="29" spans="1:10">
      <c r="A29" s="229" t="str">
        <f>IF(C29&gt;0,基础信息!$B$1,"")</f>
        <v/>
      </c>
    </row>
    <row r="30" spans="1:10">
      <c r="A30" s="229" t="str">
        <f>IF(C30&gt;0,基础信息!$B$1,"")</f>
        <v/>
      </c>
    </row>
    <row r="31" spans="1:10">
      <c r="A31" s="229" t="str">
        <f>IF(C31&gt;0,基础信息!$B$1,"")</f>
        <v/>
      </c>
    </row>
    <row r="32" spans="1:10">
      <c r="A32" s="229" t="str">
        <f>IF(C32&gt;0,基础信息!$B$1,"")</f>
        <v/>
      </c>
    </row>
    <row r="33" spans="1:1">
      <c r="A33" s="229" t="str">
        <f>IF(C33&gt;0,基础信息!$B$1,"")</f>
        <v/>
      </c>
    </row>
    <row r="34" spans="1:1">
      <c r="A34" s="229" t="str">
        <f>IF(C34&gt;0,基础信息!$B$1,"")</f>
        <v/>
      </c>
    </row>
    <row r="35" spans="1:1">
      <c r="A35" s="229" t="str">
        <f>IF(C35&gt;0,基础信息!$B$1,"")</f>
        <v/>
      </c>
    </row>
    <row r="36" spans="1:1">
      <c r="A36" s="229" t="str">
        <f>IF(C36&gt;0,基础信息!$B$1,"")</f>
        <v/>
      </c>
    </row>
    <row r="37" spans="1:1">
      <c r="A37" s="229" t="str">
        <f>IF(C37&gt;0,基础信息!$B$1,"")</f>
        <v/>
      </c>
    </row>
    <row r="38" spans="1:1">
      <c r="A38" s="229" t="str">
        <f>IF(C38&gt;0,基础信息!$B$1,"")</f>
        <v/>
      </c>
    </row>
    <row r="39" spans="1:1">
      <c r="A39" s="229" t="str">
        <f>IF(C39&gt;0,基础信息!$B$1,"")</f>
        <v/>
      </c>
    </row>
    <row r="40" spans="1:1">
      <c r="A40" s="229" t="str">
        <f>IF(C40&gt;0,基础信息!$B$1,"")</f>
        <v/>
      </c>
    </row>
    <row r="41" spans="1:1">
      <c r="A41" s="229" t="str">
        <f>IF(C41&gt;0,基础信息!$B$1,"")</f>
        <v/>
      </c>
    </row>
    <row r="42" spans="1:1">
      <c r="A42" s="229" t="str">
        <f>IF(C42&gt;0,基础信息!$B$1,"")</f>
        <v/>
      </c>
    </row>
    <row r="43" spans="1:1">
      <c r="A43" s="229" t="str">
        <f>IF(C43&gt;0,基础信息!$B$1,"")</f>
        <v/>
      </c>
    </row>
    <row r="44" spans="1:1">
      <c r="A44" s="229" t="str">
        <f>IF(C44&gt;0,基础信息!$B$1,"")</f>
        <v/>
      </c>
    </row>
    <row r="45" spans="1:1">
      <c r="A45" s="229" t="str">
        <f>IF(C45&gt;0,基础信息!$B$1,"")</f>
        <v/>
      </c>
    </row>
    <row r="46" spans="1:1">
      <c r="A46" s="229" t="str">
        <f>IF(C46&gt;0,基础信息!$B$1,"")</f>
        <v/>
      </c>
    </row>
    <row r="47" spans="1:1">
      <c r="A47" s="229" t="str">
        <f>IF(C47&gt;0,基础信息!$B$1,"")</f>
        <v/>
      </c>
    </row>
    <row r="48" spans="1:1">
      <c r="A48" s="229" t="str">
        <f>IF(C48&gt;0,基础信息!$B$1,"")</f>
        <v/>
      </c>
    </row>
    <row r="49" spans="1:1">
      <c r="A49" s="229" t="str">
        <f>IF(C49&gt;0,基础信息!$B$1,"")</f>
        <v/>
      </c>
    </row>
    <row r="50" spans="1:1">
      <c r="A50" s="229" t="str">
        <f>IF(C50&gt;0,基础信息!$B$1,"")</f>
        <v/>
      </c>
    </row>
    <row r="51" spans="1:1">
      <c r="A51" s="229" t="str">
        <f>IF(C51&gt;0,基础信息!$B$1,"")</f>
        <v/>
      </c>
    </row>
    <row r="52" spans="1:1">
      <c r="A52" s="229" t="str">
        <f>IF(C52&gt;0,基础信息!$B$1,"")</f>
        <v/>
      </c>
    </row>
    <row r="53" spans="1:1">
      <c r="A53" s="229" t="str">
        <f>IF(C53&gt;0,基础信息!$B$1,"")</f>
        <v/>
      </c>
    </row>
    <row r="54" spans="1:1">
      <c r="A54" s="229" t="str">
        <f>IF(C54&gt;0,基础信息!$B$1,"")</f>
        <v/>
      </c>
    </row>
    <row r="55" spans="1:1">
      <c r="A55" s="229" t="str">
        <f>IF(C55&gt;0,基础信息!$B$1,"")</f>
        <v/>
      </c>
    </row>
    <row r="56" spans="1:1">
      <c r="A56" s="229" t="str">
        <f>IF(C56&gt;0,基础信息!$B$1,"")</f>
        <v/>
      </c>
    </row>
    <row r="57" spans="1:1">
      <c r="A57" s="229" t="str">
        <f>IF(C57&gt;0,基础信息!$B$1,"")</f>
        <v/>
      </c>
    </row>
    <row r="58" spans="1:1">
      <c r="A58" s="229" t="str">
        <f>IF(C58&gt;0,基础信息!$B$1,"")</f>
        <v/>
      </c>
    </row>
    <row r="59" spans="1:1">
      <c r="A59" s="229" t="str">
        <f>IF(C59&gt;0,基础信息!$B$1,"")</f>
        <v/>
      </c>
    </row>
    <row r="60" spans="1:1">
      <c r="A60" s="229" t="str">
        <f>IF(C60&gt;0,基础信息!$B$1,"")</f>
        <v/>
      </c>
    </row>
    <row r="61" spans="1:1">
      <c r="A61" s="229" t="str">
        <f>IF(C61&gt;0,基础信息!$B$1,"")</f>
        <v/>
      </c>
    </row>
    <row r="62" spans="1:1">
      <c r="A62" s="229" t="str">
        <f>IF(C62&gt;0,基础信息!$B$1,"")</f>
        <v/>
      </c>
    </row>
    <row r="63" spans="1:1">
      <c r="A63" s="229" t="str">
        <f>IF(C63&gt;0,基础信息!$B$1,"")</f>
        <v/>
      </c>
    </row>
    <row r="64" spans="1:1">
      <c r="A64" s="229" t="str">
        <f>IF(C64&gt;0,基础信息!$B$1,"")</f>
        <v/>
      </c>
    </row>
    <row r="65" spans="1:1">
      <c r="A65" s="229" t="str">
        <f>IF(C65&gt;0,基础信息!$B$1,"")</f>
        <v/>
      </c>
    </row>
    <row r="66" spans="1:1">
      <c r="A66" s="229" t="str">
        <f>IF(C66&gt;0,基础信息!$B$1,"")</f>
        <v/>
      </c>
    </row>
    <row r="67" spans="1:1">
      <c r="A67" s="229" t="str">
        <f>IF(C67&gt;0,基础信息!$B$1,"")</f>
        <v/>
      </c>
    </row>
    <row r="68" spans="1:1">
      <c r="A68" s="229" t="str">
        <f>IF(C68&gt;0,基础信息!$B$1,"")</f>
        <v/>
      </c>
    </row>
    <row r="69" spans="1:1">
      <c r="A69" s="229" t="str">
        <f>IF(C69&gt;0,基础信息!$B$1,"")</f>
        <v/>
      </c>
    </row>
    <row r="70" spans="1:1">
      <c r="A70" s="229" t="str">
        <f>IF(C70&gt;0,基础信息!$B$1,"")</f>
        <v/>
      </c>
    </row>
    <row r="71" spans="1:1">
      <c r="A71" s="229" t="str">
        <f>IF(C71&gt;0,基础信息!$B$1,"")</f>
        <v/>
      </c>
    </row>
    <row r="72" spans="1:1">
      <c r="A72" s="229" t="str">
        <f>IF(C72&gt;0,基础信息!$B$1,"")</f>
        <v/>
      </c>
    </row>
    <row r="73" spans="1:1">
      <c r="A73" s="229" t="str">
        <f>IF(C73&gt;0,基础信息!$B$1,"")</f>
        <v/>
      </c>
    </row>
    <row r="74" spans="1:1">
      <c r="A74" s="229" t="str">
        <f>IF(C74&gt;0,基础信息!$B$1,"")</f>
        <v/>
      </c>
    </row>
    <row r="75" spans="1:1">
      <c r="A75" s="229" t="str">
        <f>IF(C75&gt;0,基础信息!$B$1,"")</f>
        <v/>
      </c>
    </row>
    <row r="76" spans="1:1">
      <c r="A76" s="229" t="str">
        <f>IF(C76&gt;0,基础信息!$B$1,"")</f>
        <v/>
      </c>
    </row>
    <row r="77" spans="1:1">
      <c r="A77" s="229" t="str">
        <f>IF(C77&gt;0,基础信息!$B$1,"")</f>
        <v/>
      </c>
    </row>
    <row r="78" spans="1:1">
      <c r="A78" s="229" t="str">
        <f>IF(C78&gt;0,基础信息!$B$1,"")</f>
        <v/>
      </c>
    </row>
    <row r="79" spans="1:1">
      <c r="A79" s="229" t="str">
        <f>IF(C79&gt;0,基础信息!$B$1,"")</f>
        <v/>
      </c>
    </row>
    <row r="80" spans="1:1">
      <c r="A80" s="229" t="str">
        <f>IF(C80&gt;0,基础信息!$B$1,"")</f>
        <v/>
      </c>
    </row>
    <row r="81" spans="1:1">
      <c r="A81" s="229" t="str">
        <f>IF(C81&gt;0,基础信息!$B$1,"")</f>
        <v/>
      </c>
    </row>
    <row r="82" spans="1:1">
      <c r="A82" s="229" t="str">
        <f>IF(C82&gt;0,基础信息!$B$1,"")</f>
        <v/>
      </c>
    </row>
    <row r="83" spans="1:1">
      <c r="A83" s="229" t="str">
        <f>IF(C83&gt;0,基础信息!$B$1,"")</f>
        <v/>
      </c>
    </row>
    <row r="84" spans="1:1">
      <c r="A84" s="229" t="str">
        <f>IF(C84&gt;0,基础信息!$B$1,"")</f>
        <v/>
      </c>
    </row>
    <row r="85" spans="1:1">
      <c r="A85" s="229" t="str">
        <f>IF(C85&gt;0,基础信息!$B$1,"")</f>
        <v/>
      </c>
    </row>
    <row r="86" spans="1:1">
      <c r="A86" s="229" t="str">
        <f>IF(C86&gt;0,基础信息!$B$1,"")</f>
        <v/>
      </c>
    </row>
    <row r="87" spans="1:1">
      <c r="A87" s="229" t="str">
        <f>IF(C87&gt;0,基础信息!$B$1,"")</f>
        <v/>
      </c>
    </row>
    <row r="88" spans="1:1">
      <c r="A88" s="229" t="str">
        <f>IF(C88&gt;0,基础信息!$B$1,"")</f>
        <v/>
      </c>
    </row>
    <row r="89" spans="1:1">
      <c r="A89" s="229" t="str">
        <f>IF(C89&gt;0,基础信息!$B$1,"")</f>
        <v/>
      </c>
    </row>
    <row r="90" spans="1:1">
      <c r="A90" s="229"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codeName="Sheet253">
    <tabColor rgb="FFFFC000"/>
  </sheetPr>
  <dimension ref="A1:C4"/>
  <sheetViews>
    <sheetView workbookViewId="0">
      <selection activeCell="L29" sqref="L29"/>
    </sheetView>
  </sheetViews>
  <sheetFormatPr defaultRowHeight="13.8"/>
  <cols>
    <col min="1" max="16384" width="8.88671875" style="18"/>
  </cols>
  <sheetData>
    <row r="1" spans="1:3" ht="14.4">
      <c r="A1" s="19" t="s">
        <v>28</v>
      </c>
      <c r="B1" s="20" t="s">
        <v>203</v>
      </c>
      <c r="C1" s="20" t="s">
        <v>265</v>
      </c>
    </row>
    <row r="2" spans="1:3" ht="14.4">
      <c r="A2" s="345" t="s">
        <v>2170</v>
      </c>
      <c r="B2" s="68">
        <f>ROUND(SUMIF(预收账款明细表!D:D,预收款项!A2,预收账款明细表!I:I),2)</f>
        <v>0</v>
      </c>
      <c r="C2" s="267"/>
    </row>
    <row r="3" spans="1:3" ht="14.4">
      <c r="A3" s="345" t="s">
        <v>3611</v>
      </c>
      <c r="B3" s="68">
        <f>ROUND(SUMIF(预收账款明细表!D:D,预收款项!A3,预收账款明细表!I:I),2)</f>
        <v>0</v>
      </c>
      <c r="C3" s="267"/>
    </row>
    <row r="4" spans="1:3" ht="14.4">
      <c r="A4" s="19" t="s">
        <v>204</v>
      </c>
      <c r="B4" s="68">
        <f>ROUND(SUM(B2:B3),2)</f>
        <v>0</v>
      </c>
      <c r="C4" s="68">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D5DEA8-BF97-4BFD-A5A9-A8AE2B61A1FA}">
          <x14:formula1>
            <xm:f>分类表!$99:$99</xm:f>
          </x14:formula1>
          <xm:sqref>A2:A3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sheetPr codeName="Sheet23">
    <tabColor rgb="FF00B0F0"/>
  </sheetPr>
  <dimension ref="A1:C23"/>
  <sheetViews>
    <sheetView workbookViewId="0">
      <selection activeCell="G29" sqref="G29"/>
    </sheetView>
  </sheetViews>
  <sheetFormatPr defaultRowHeight="13.8"/>
  <cols>
    <col min="1" max="1" width="22.6640625" bestFit="1" customWidth="1"/>
    <col min="2" max="2" width="18.5546875" style="229" bestFit="1" customWidth="1"/>
    <col min="3" max="3" width="13.88671875" bestFit="1" customWidth="1"/>
  </cols>
  <sheetData>
    <row r="1" spans="1:3">
      <c r="A1" s="261" t="s">
        <v>2524</v>
      </c>
      <c r="B1" s="229" t="s">
        <v>2478</v>
      </c>
    </row>
    <row r="2" spans="1:3">
      <c r="A2" s="261" t="s">
        <v>2516</v>
      </c>
      <c r="B2" s="263">
        <f>SUM(B3:B10)</f>
        <v>0</v>
      </c>
    </row>
    <row r="3" spans="1:3">
      <c r="A3" t="s">
        <v>2520</v>
      </c>
      <c r="B3" s="229">
        <f>负债表!C3</f>
        <v>0</v>
      </c>
    </row>
    <row r="4" spans="1:3">
      <c r="A4" t="s">
        <v>2521</v>
      </c>
      <c r="B4" s="229">
        <f>负债表!C33</f>
        <v>0</v>
      </c>
    </row>
    <row r="5" spans="1:3">
      <c r="A5" t="s">
        <v>2522</v>
      </c>
      <c r="B5" s="229">
        <f>负债表!C34</f>
        <v>0</v>
      </c>
    </row>
    <row r="6" spans="1:3">
      <c r="A6" t="s">
        <v>2268</v>
      </c>
      <c r="B6" s="229">
        <f>VLOOKUP(A6,其他流动负债!A:C,3,0)</f>
        <v>0</v>
      </c>
      <c r="C6" t="s">
        <v>2523</v>
      </c>
    </row>
    <row r="7" spans="1:3">
      <c r="A7" t="s">
        <v>536</v>
      </c>
      <c r="B7" s="229">
        <f>VLOOKUP(A7,一年内到期的非流动负债!A:C,3,0)</f>
        <v>0</v>
      </c>
    </row>
    <row r="8" spans="1:3">
      <c r="A8" t="s">
        <v>535</v>
      </c>
      <c r="B8" s="229">
        <f>VLOOKUP(A8,一年内到期的非流动负债!A:C,3,0)</f>
        <v>0</v>
      </c>
    </row>
    <row r="11" spans="1:3">
      <c r="A11" s="261" t="s">
        <v>2517</v>
      </c>
      <c r="B11" s="263">
        <f>SUM(B12:B20)</f>
        <v>0</v>
      </c>
    </row>
    <row r="12" spans="1:3">
      <c r="A12" t="s">
        <v>2520</v>
      </c>
      <c r="B12" s="229">
        <f>负债表!B3</f>
        <v>0</v>
      </c>
    </row>
    <row r="13" spans="1:3">
      <c r="A13" t="s">
        <v>2521</v>
      </c>
      <c r="B13" s="229">
        <f>负债表!B33</f>
        <v>0</v>
      </c>
    </row>
    <row r="14" spans="1:3">
      <c r="A14" t="s">
        <v>2522</v>
      </c>
      <c r="B14" s="229">
        <f>负债表!B34</f>
        <v>0</v>
      </c>
    </row>
    <row r="15" spans="1:3">
      <c r="A15" t="s">
        <v>2268</v>
      </c>
      <c r="B15" s="229">
        <f>VLOOKUP(A15,其他流动负债!A:C,2,0)</f>
        <v>0</v>
      </c>
      <c r="C15" t="s">
        <v>2523</v>
      </c>
    </row>
    <row r="16" spans="1:3">
      <c r="A16" t="s">
        <v>536</v>
      </c>
      <c r="B16" s="229">
        <f>VLOOKUP(A16,一年内到期的非流动负债!A:C,2,0)</f>
        <v>0</v>
      </c>
    </row>
    <row r="17" spans="1:2">
      <c r="A17" t="s">
        <v>535</v>
      </c>
      <c r="B17" s="229">
        <f>VLOOKUP(A17,一年内到期的非流动负债!A:C,2,0)</f>
        <v>0</v>
      </c>
    </row>
    <row r="21" spans="1:2">
      <c r="A21" t="s">
        <v>2518</v>
      </c>
      <c r="B21" s="229">
        <f>现金流量表!B47</f>
        <v>0</v>
      </c>
    </row>
    <row r="22" spans="1:2">
      <c r="A22" t="s">
        <v>2519</v>
      </c>
      <c r="B22" s="229">
        <f>现金流量表!B51</f>
        <v>0</v>
      </c>
    </row>
    <row r="23" spans="1:2">
      <c r="A23" t="s">
        <v>2351</v>
      </c>
      <c r="B23" s="229">
        <f>B2+B21-B22-B11</f>
        <v>0</v>
      </c>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codeName="Sheet254">
    <tabColor rgb="FFFFC000"/>
  </sheetPr>
  <dimension ref="A1:C6"/>
  <sheetViews>
    <sheetView workbookViewId="0">
      <selection activeCell="G17" sqref="G17"/>
    </sheetView>
  </sheetViews>
  <sheetFormatPr defaultRowHeight="13.8"/>
  <cols>
    <col min="1" max="1" width="21.88671875" customWidth="1"/>
  </cols>
  <sheetData>
    <row r="1" spans="1:3" ht="14.4">
      <c r="A1" s="19" t="s">
        <v>28</v>
      </c>
      <c r="B1" s="20" t="s">
        <v>203</v>
      </c>
      <c r="C1" s="20" t="s">
        <v>265</v>
      </c>
    </row>
    <row r="2" spans="1:3" ht="14.4">
      <c r="A2" s="42" t="s">
        <v>500</v>
      </c>
      <c r="B2" s="68">
        <f>ROUND(SUM(预收账款明细表!E:E),2)</f>
        <v>0</v>
      </c>
      <c r="C2" s="267"/>
    </row>
    <row r="3" spans="1:3" ht="14.4">
      <c r="A3" s="42" t="s">
        <v>501</v>
      </c>
      <c r="B3" s="68">
        <f>ROUND(SUM(预收账款明细表!F:F),2)</f>
        <v>0</v>
      </c>
      <c r="C3" s="267"/>
    </row>
    <row r="4" spans="1:3" ht="14.4">
      <c r="A4" s="42" t="s">
        <v>502</v>
      </c>
      <c r="B4" s="68">
        <f>ROUND(SUM(预收账款明细表!G:G),2)</f>
        <v>0</v>
      </c>
      <c r="C4" s="267"/>
    </row>
    <row r="5" spans="1:3" ht="14.4">
      <c r="A5" s="42" t="s">
        <v>503</v>
      </c>
      <c r="B5" s="68">
        <f>ROUND(SUM(预收账款明细表!H:H),2)</f>
        <v>0</v>
      </c>
      <c r="C5" s="267"/>
    </row>
    <row r="6" spans="1:3" ht="14.4">
      <c r="A6" s="19" t="s">
        <v>204</v>
      </c>
      <c r="B6" s="68">
        <f>ROUND(SUM(B2:B5),2)</f>
        <v>0</v>
      </c>
      <c r="C6" s="68">
        <f>ROUND(SUM(C2:C5),2)</f>
        <v>0</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codeName="Sheet255">
    <tabColor rgb="FFFFC000"/>
  </sheetPr>
  <dimension ref="A1:C5"/>
  <sheetViews>
    <sheetView workbookViewId="0">
      <selection activeCell="K19" sqref="K19"/>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504</v>
      </c>
      <c r="B1" s="35" t="s">
        <v>199</v>
      </c>
      <c r="C1" s="35" t="s">
        <v>506</v>
      </c>
    </row>
    <row r="2" spans="1:3" ht="14.4">
      <c r="A2" s="328"/>
      <c r="B2" s="328"/>
      <c r="C2" s="314"/>
    </row>
    <row r="3" spans="1:3" ht="14.4">
      <c r="A3" s="328"/>
      <c r="B3" s="328"/>
      <c r="C3" s="314"/>
    </row>
    <row r="4" spans="1:3" ht="14.4">
      <c r="A4" s="329"/>
      <c r="B4" s="328"/>
      <c r="C4" s="314"/>
    </row>
    <row r="5" spans="1:3" ht="14.4">
      <c r="A5" s="35" t="s">
        <v>204</v>
      </c>
      <c r="B5" s="43">
        <f>ROUND(SUM(B2:B4),2)</f>
        <v>0</v>
      </c>
      <c r="C5" s="41" t="s">
        <v>235</v>
      </c>
    </row>
  </sheetData>
  <phoneticPr fontId="1" type="noConversion"/>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sheetPr codeName="Sheet256"/>
  <dimension ref="A1:J46"/>
  <sheetViews>
    <sheetView workbookViewId="0">
      <selection activeCell="D7" sqref="D7"/>
    </sheetView>
  </sheetViews>
  <sheetFormatPr defaultRowHeight="13.8"/>
  <cols>
    <col min="1" max="1" width="14.44140625" customWidth="1"/>
    <col min="2" max="2" width="16.33203125" customWidth="1"/>
    <col min="4" max="4" width="9.5546875" bestFit="1" customWidth="1"/>
  </cols>
  <sheetData>
    <row r="1" spans="1:10">
      <c r="A1" s="330" t="s">
        <v>1976</v>
      </c>
      <c r="B1" s="330" t="s">
        <v>125</v>
      </c>
      <c r="C1" s="331" t="s">
        <v>183</v>
      </c>
      <c r="D1" s="331" t="s">
        <v>2492</v>
      </c>
      <c r="E1" s="331" t="s">
        <v>2493</v>
      </c>
      <c r="F1" s="331" t="s">
        <v>259</v>
      </c>
      <c r="G1" s="331" t="s">
        <v>260</v>
      </c>
      <c r="H1" s="331" t="s">
        <v>261</v>
      </c>
      <c r="I1" s="332" t="s">
        <v>204</v>
      </c>
      <c r="J1" s="331" t="s">
        <v>2351</v>
      </c>
    </row>
    <row r="2" spans="1:10">
      <c r="A2" s="229" t="str">
        <f>IF(C2&gt;0,基础信息!$B$1,"")</f>
        <v/>
      </c>
      <c r="B2" s="255"/>
      <c r="C2" s="255"/>
      <c r="D2" s="255"/>
      <c r="E2" s="255"/>
      <c r="F2" s="255"/>
      <c r="G2" s="255"/>
      <c r="H2" s="255"/>
      <c r="I2" s="229">
        <f>SUM(E2:H2)</f>
        <v>0</v>
      </c>
      <c r="J2" s="230">
        <f>C2-I2</f>
        <v>0</v>
      </c>
    </row>
    <row r="3" spans="1:10">
      <c r="A3" s="229" t="str">
        <f>IF(C3&gt;0,基础信息!$B$1,"")</f>
        <v/>
      </c>
      <c r="B3" s="255"/>
      <c r="C3" s="255"/>
      <c r="D3" s="255"/>
      <c r="E3" s="255"/>
      <c r="F3" s="255"/>
      <c r="G3" s="255"/>
      <c r="H3" s="255"/>
      <c r="I3" s="229">
        <f t="shared" ref="I3:I21" si="0">SUM(E3:H3)</f>
        <v>0</v>
      </c>
      <c r="J3" s="230">
        <f t="shared" ref="J3:J21" si="1">C3-I3</f>
        <v>0</v>
      </c>
    </row>
    <row r="4" spans="1:10">
      <c r="A4" s="229" t="str">
        <f>IF(C4&gt;0,基础信息!$B$1,"")</f>
        <v/>
      </c>
      <c r="B4" s="255"/>
      <c r="C4" s="255"/>
      <c r="D4" s="255"/>
      <c r="E4" s="255"/>
      <c r="F4" s="255"/>
      <c r="G4" s="255"/>
      <c r="H4" s="255"/>
      <c r="I4" s="229">
        <f t="shared" si="0"/>
        <v>0</v>
      </c>
      <c r="J4" s="230">
        <f t="shared" si="1"/>
        <v>0</v>
      </c>
    </row>
    <row r="5" spans="1:10">
      <c r="A5" s="229" t="str">
        <f>IF(C5&gt;0,基础信息!$B$1,"")</f>
        <v/>
      </c>
      <c r="B5" s="255"/>
      <c r="C5" s="255"/>
      <c r="D5" s="255"/>
      <c r="E5" s="255"/>
      <c r="F5" s="255"/>
      <c r="G5" s="255"/>
      <c r="H5" s="255"/>
      <c r="I5" s="229">
        <f t="shared" si="0"/>
        <v>0</v>
      </c>
      <c r="J5" s="230">
        <f t="shared" si="1"/>
        <v>0</v>
      </c>
    </row>
    <row r="6" spans="1:10">
      <c r="A6" s="229" t="str">
        <f>IF(C6&gt;0,基础信息!$B$1,"")</f>
        <v/>
      </c>
      <c r="B6" s="255"/>
      <c r="C6" s="255"/>
      <c r="D6" s="255"/>
      <c r="E6" s="255"/>
      <c r="F6" s="255"/>
      <c r="G6" s="255"/>
      <c r="H6" s="255"/>
      <c r="I6" s="229">
        <f t="shared" si="0"/>
        <v>0</v>
      </c>
      <c r="J6" s="230">
        <f t="shared" si="1"/>
        <v>0</v>
      </c>
    </row>
    <row r="7" spans="1:10">
      <c r="A7" s="229" t="str">
        <f>IF(C7&gt;0,基础信息!$B$1,"")</f>
        <v/>
      </c>
      <c r="B7" s="255"/>
      <c r="C7" s="255"/>
      <c r="D7" s="255"/>
      <c r="E7" s="255"/>
      <c r="F7" s="255"/>
      <c r="G7" s="255"/>
      <c r="H7" s="255"/>
      <c r="I7" s="229">
        <f t="shared" si="0"/>
        <v>0</v>
      </c>
      <c r="J7" s="230">
        <f t="shared" si="1"/>
        <v>0</v>
      </c>
    </row>
    <row r="8" spans="1:10">
      <c r="A8" s="229" t="str">
        <f>IF(C8&gt;0,基础信息!$B$1,"")</f>
        <v/>
      </c>
      <c r="B8" s="255"/>
      <c r="C8" s="255"/>
      <c r="D8" s="255"/>
      <c r="E8" s="255"/>
      <c r="F8" s="255"/>
      <c r="G8" s="255"/>
      <c r="H8" s="255"/>
      <c r="I8" s="229">
        <f t="shared" si="0"/>
        <v>0</v>
      </c>
      <c r="J8" s="230">
        <f t="shared" si="1"/>
        <v>0</v>
      </c>
    </row>
    <row r="9" spans="1:10">
      <c r="A9" s="229" t="str">
        <f>IF(C9&gt;0,基础信息!$B$1,"")</f>
        <v/>
      </c>
      <c r="B9" s="255"/>
      <c r="C9" s="255"/>
      <c r="D9" s="255"/>
      <c r="E9" s="255"/>
      <c r="F9" s="255"/>
      <c r="G9" s="255"/>
      <c r="H9" s="255"/>
      <c r="I9" s="229">
        <f t="shared" si="0"/>
        <v>0</v>
      </c>
      <c r="J9" s="230">
        <f t="shared" si="1"/>
        <v>0</v>
      </c>
    </row>
    <row r="10" spans="1:10">
      <c r="A10" s="229" t="str">
        <f>IF(C10&gt;0,基础信息!$B$1,"")</f>
        <v/>
      </c>
      <c r="B10" s="255"/>
      <c r="C10" s="255"/>
      <c r="D10" s="255"/>
      <c r="E10" s="255"/>
      <c r="F10" s="255"/>
      <c r="G10" s="255"/>
      <c r="H10" s="255"/>
      <c r="I10" s="229">
        <f t="shared" si="0"/>
        <v>0</v>
      </c>
      <c r="J10" s="230">
        <f t="shared" si="1"/>
        <v>0</v>
      </c>
    </row>
    <row r="11" spans="1:10">
      <c r="A11" s="229" t="str">
        <f>IF(C11&gt;0,基础信息!$B$1,"")</f>
        <v/>
      </c>
      <c r="B11" s="255"/>
      <c r="C11" s="255"/>
      <c r="D11" s="255"/>
      <c r="E11" s="255"/>
      <c r="F11" s="255"/>
      <c r="G11" s="255"/>
      <c r="H11" s="255"/>
      <c r="I11" s="229">
        <f t="shared" si="0"/>
        <v>0</v>
      </c>
      <c r="J11" s="230">
        <f t="shared" si="1"/>
        <v>0</v>
      </c>
    </row>
    <row r="12" spans="1:10">
      <c r="A12" s="229" t="str">
        <f>IF(C12&gt;0,基础信息!$B$1,"")</f>
        <v/>
      </c>
      <c r="B12" s="255"/>
      <c r="C12" s="255"/>
      <c r="D12" s="255"/>
      <c r="E12" s="255"/>
      <c r="F12" s="255"/>
      <c r="G12" s="255"/>
      <c r="H12" s="255"/>
      <c r="I12" s="229">
        <f t="shared" si="0"/>
        <v>0</v>
      </c>
      <c r="J12" s="230">
        <f t="shared" si="1"/>
        <v>0</v>
      </c>
    </row>
    <row r="13" spans="1:10">
      <c r="A13" s="229" t="str">
        <f>IF(C13&gt;0,基础信息!$B$1,"")</f>
        <v/>
      </c>
      <c r="B13" s="255"/>
      <c r="C13" s="255"/>
      <c r="D13" s="255"/>
      <c r="E13" s="255"/>
      <c r="F13" s="255"/>
      <c r="G13" s="255"/>
      <c r="H13" s="255"/>
      <c r="I13" s="229">
        <f t="shared" si="0"/>
        <v>0</v>
      </c>
      <c r="J13" s="230">
        <f t="shared" si="1"/>
        <v>0</v>
      </c>
    </row>
    <row r="14" spans="1:10">
      <c r="A14" s="229" t="str">
        <f>IF(C14&gt;0,基础信息!$B$1,"")</f>
        <v/>
      </c>
      <c r="B14" s="255"/>
      <c r="C14" s="255"/>
      <c r="D14" s="255"/>
      <c r="E14" s="255"/>
      <c r="F14" s="255"/>
      <c r="G14" s="255"/>
      <c r="H14" s="255"/>
      <c r="I14" s="229">
        <f t="shared" si="0"/>
        <v>0</v>
      </c>
      <c r="J14" s="230">
        <f t="shared" si="1"/>
        <v>0</v>
      </c>
    </row>
    <row r="15" spans="1:10">
      <c r="A15" s="229" t="str">
        <f>IF(C15&gt;0,基础信息!$B$1,"")</f>
        <v/>
      </c>
      <c r="B15" s="255"/>
      <c r="C15" s="255"/>
      <c r="D15" s="255"/>
      <c r="E15" s="255"/>
      <c r="F15" s="255"/>
      <c r="G15" s="255"/>
      <c r="H15" s="255"/>
      <c r="I15" s="229">
        <f t="shared" si="0"/>
        <v>0</v>
      </c>
      <c r="J15" s="230">
        <f t="shared" si="1"/>
        <v>0</v>
      </c>
    </row>
    <row r="16" spans="1:10">
      <c r="A16" s="229" t="str">
        <f>IF(C16&gt;0,基础信息!$B$1,"")</f>
        <v/>
      </c>
      <c r="B16" s="255"/>
      <c r="C16" s="255"/>
      <c r="D16" s="255"/>
      <c r="E16" s="255"/>
      <c r="F16" s="255"/>
      <c r="G16" s="255"/>
      <c r="H16" s="255"/>
      <c r="I16" s="229">
        <f t="shared" si="0"/>
        <v>0</v>
      </c>
      <c r="J16" s="230">
        <f t="shared" si="1"/>
        <v>0</v>
      </c>
    </row>
    <row r="17" spans="1:10">
      <c r="A17" s="229" t="str">
        <f>IF(C17&gt;0,基础信息!$B$1,"")</f>
        <v/>
      </c>
      <c r="B17" s="255"/>
      <c r="C17" s="255"/>
      <c r="D17" s="255"/>
      <c r="E17" s="255"/>
      <c r="F17" s="255"/>
      <c r="G17" s="255"/>
      <c r="H17" s="255"/>
      <c r="I17" s="229">
        <f t="shared" si="0"/>
        <v>0</v>
      </c>
      <c r="J17" s="230">
        <f t="shared" si="1"/>
        <v>0</v>
      </c>
    </row>
    <row r="18" spans="1:10">
      <c r="A18" s="229" t="str">
        <f>IF(C18&gt;0,基础信息!$B$1,"")</f>
        <v/>
      </c>
      <c r="B18" s="255"/>
      <c r="C18" s="255"/>
      <c r="D18" s="255"/>
      <c r="E18" s="255"/>
      <c r="F18" s="255"/>
      <c r="G18" s="255"/>
      <c r="H18" s="255"/>
      <c r="I18" s="229">
        <f t="shared" si="0"/>
        <v>0</v>
      </c>
      <c r="J18" s="230">
        <f t="shared" si="1"/>
        <v>0</v>
      </c>
    </row>
    <row r="19" spans="1:10">
      <c r="A19" s="229" t="str">
        <f>IF(C19&gt;0,基础信息!$B$1,"")</f>
        <v/>
      </c>
      <c r="B19" s="255"/>
      <c r="C19" s="255"/>
      <c r="D19" s="255"/>
      <c r="E19" s="255"/>
      <c r="F19" s="255"/>
      <c r="G19" s="255"/>
      <c r="H19" s="255"/>
      <c r="I19" s="229">
        <f t="shared" si="0"/>
        <v>0</v>
      </c>
      <c r="J19" s="230">
        <f t="shared" si="1"/>
        <v>0</v>
      </c>
    </row>
    <row r="20" spans="1:10">
      <c r="A20" s="229" t="str">
        <f>IF(C20&gt;0,基础信息!$B$1,"")</f>
        <v/>
      </c>
      <c r="B20" s="255"/>
      <c r="C20" s="255"/>
      <c r="D20" s="255"/>
      <c r="E20" s="255"/>
      <c r="F20" s="255"/>
      <c r="G20" s="255"/>
      <c r="H20" s="255"/>
      <c r="I20" s="229">
        <f t="shared" si="0"/>
        <v>0</v>
      </c>
      <c r="J20" s="230">
        <f t="shared" si="1"/>
        <v>0</v>
      </c>
    </row>
    <row r="21" spans="1:10">
      <c r="A21" s="229" t="str">
        <f>IF(C21&gt;0,基础信息!$B$1,"")</f>
        <v/>
      </c>
      <c r="B21" s="255"/>
      <c r="C21" s="255"/>
      <c r="D21" s="255"/>
      <c r="E21" s="255"/>
      <c r="F21" s="255"/>
      <c r="G21" s="255"/>
      <c r="H21" s="255"/>
      <c r="I21" s="229">
        <f t="shared" si="0"/>
        <v>0</v>
      </c>
      <c r="J21" s="230">
        <f t="shared" si="1"/>
        <v>0</v>
      </c>
    </row>
    <row r="22" spans="1:10">
      <c r="A22" s="229" t="str">
        <f>IF(C22&gt;0,基础信息!$B$1,"")</f>
        <v/>
      </c>
    </row>
    <row r="23" spans="1:10">
      <c r="A23" s="229" t="str">
        <f>IF(C23&gt;0,基础信息!$B$1,"")</f>
        <v/>
      </c>
    </row>
    <row r="24" spans="1:10">
      <c r="A24" s="229" t="str">
        <f>IF(C24&gt;0,基础信息!$B$1,"")</f>
        <v/>
      </c>
    </row>
    <row r="25" spans="1:10">
      <c r="A25" s="229" t="str">
        <f>IF(C25&gt;0,基础信息!$B$1,"")</f>
        <v/>
      </c>
    </row>
    <row r="26" spans="1:10">
      <c r="A26" s="229" t="str">
        <f>IF(C26&gt;0,基础信息!$B$1,"")</f>
        <v/>
      </c>
    </row>
    <row r="27" spans="1:10">
      <c r="A27" s="229" t="str">
        <f>IF(C27&gt;0,基础信息!$B$1,"")</f>
        <v/>
      </c>
    </row>
    <row r="28" spans="1:10">
      <c r="A28" s="229" t="str">
        <f>IF(C28&gt;0,基础信息!$B$1,"")</f>
        <v/>
      </c>
    </row>
    <row r="29" spans="1:10">
      <c r="A29" s="229" t="str">
        <f>IF(C29&gt;0,基础信息!$B$1,"")</f>
        <v/>
      </c>
    </row>
    <row r="30" spans="1:10">
      <c r="A30" s="229" t="str">
        <f>IF(C30&gt;0,基础信息!$B$1,"")</f>
        <v/>
      </c>
    </row>
    <row r="31" spans="1:10">
      <c r="A31" s="229" t="str">
        <f>IF(C31&gt;0,基础信息!$B$1,"")</f>
        <v/>
      </c>
    </row>
    <row r="32" spans="1:10">
      <c r="A32" s="229" t="str">
        <f>IF(C32&gt;0,基础信息!$B$1,"")</f>
        <v/>
      </c>
    </row>
    <row r="33" spans="1:1">
      <c r="A33" s="229" t="str">
        <f>IF(C33&gt;0,基础信息!$B$1,"")</f>
        <v/>
      </c>
    </row>
    <row r="34" spans="1:1">
      <c r="A34" s="229" t="str">
        <f>IF(C34&gt;0,基础信息!$B$1,"")</f>
        <v/>
      </c>
    </row>
    <row r="35" spans="1:1">
      <c r="A35" s="229" t="str">
        <f>IF(C35&gt;0,基础信息!$B$1,"")</f>
        <v/>
      </c>
    </row>
    <row r="36" spans="1:1">
      <c r="A36" s="229" t="str">
        <f>IF(C36&gt;0,基础信息!$B$1,"")</f>
        <v/>
      </c>
    </row>
    <row r="37" spans="1:1">
      <c r="A37" s="229" t="str">
        <f>IF(C37&gt;0,基础信息!$B$1,"")</f>
        <v/>
      </c>
    </row>
    <row r="38" spans="1:1">
      <c r="A38" s="229" t="str">
        <f>IF(C38&gt;0,基础信息!$B$1,"")</f>
        <v/>
      </c>
    </row>
    <row r="39" spans="1:1">
      <c r="A39" s="229" t="str">
        <f>IF(C39&gt;0,基础信息!$B$1,"")</f>
        <v/>
      </c>
    </row>
    <row r="40" spans="1:1">
      <c r="A40" s="229" t="str">
        <f>IF(C40&gt;0,基础信息!$B$1,"")</f>
        <v/>
      </c>
    </row>
    <row r="41" spans="1:1">
      <c r="A41" s="229" t="str">
        <f>IF(C41&gt;0,基础信息!$B$1,"")</f>
        <v/>
      </c>
    </row>
    <row r="42" spans="1:1">
      <c r="A42" s="229" t="str">
        <f>IF(C42&gt;0,基础信息!$B$1,"")</f>
        <v/>
      </c>
    </row>
    <row r="43" spans="1:1">
      <c r="A43" s="229" t="str">
        <f>IF(C43&gt;0,基础信息!$B$1,"")</f>
        <v/>
      </c>
    </row>
    <row r="44" spans="1:1">
      <c r="A44" s="229" t="str">
        <f>IF(C44&gt;0,基础信息!$B$1,"")</f>
        <v/>
      </c>
    </row>
    <row r="45" spans="1:1">
      <c r="A45" s="229" t="str">
        <f>IF(C45&gt;0,基础信息!$B$1,"")</f>
        <v/>
      </c>
    </row>
    <row r="46" spans="1:1">
      <c r="A46" s="229"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codeName="Sheet257">
    <tabColor rgb="FFFFC000"/>
  </sheetPr>
  <dimension ref="A1:C4"/>
  <sheetViews>
    <sheetView workbookViewId="0">
      <selection activeCell="I15" sqref="I15"/>
    </sheetView>
  </sheetViews>
  <sheetFormatPr defaultRowHeight="13.8"/>
  <cols>
    <col min="1" max="16384" width="8.88671875" style="18"/>
  </cols>
  <sheetData>
    <row r="1" spans="1:3" ht="14.4">
      <c r="A1" s="35" t="s">
        <v>28</v>
      </c>
      <c r="B1" s="35" t="s">
        <v>199</v>
      </c>
      <c r="C1" s="35" t="s">
        <v>200</v>
      </c>
    </row>
    <row r="2" spans="1:3" ht="14.4">
      <c r="A2" s="328"/>
      <c r="B2" s="314"/>
      <c r="C2" s="314"/>
    </row>
    <row r="3" spans="1:3" ht="14.4">
      <c r="A3" s="329"/>
      <c r="B3" s="314"/>
      <c r="C3" s="314"/>
    </row>
    <row r="4" spans="1:3" ht="14.4">
      <c r="A4" s="35" t="s">
        <v>204</v>
      </c>
      <c r="B4" s="39">
        <f>ROUND(SUM(B2:B3),2)</f>
        <v>0</v>
      </c>
      <c r="C4" s="39">
        <f>ROUND(SUM(C2:C3),2)</f>
        <v>0</v>
      </c>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codeName="Sheet258">
    <tabColor rgb="FFFFC000"/>
  </sheetPr>
  <dimension ref="A1:F7"/>
  <sheetViews>
    <sheetView workbookViewId="0">
      <selection activeCell="F18" sqref="F18"/>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28</v>
      </c>
      <c r="B1" s="154" t="s">
        <v>200</v>
      </c>
      <c r="C1" s="154" t="s">
        <v>342</v>
      </c>
      <c r="D1" s="153" t="s">
        <v>335</v>
      </c>
      <c r="E1" s="154" t="s">
        <v>199</v>
      </c>
    </row>
    <row r="2" spans="1:5" ht="14.4">
      <c r="A2" s="19" t="s">
        <v>507</v>
      </c>
      <c r="B2" s="289">
        <f>ROUND(短期薪酬列示!B14,2)</f>
        <v>0</v>
      </c>
      <c r="C2" s="289">
        <f>ROUND(短期薪酬列示!C14,2)</f>
        <v>0</v>
      </c>
      <c r="D2" s="289">
        <f>ROUND(短期薪酬列示!D14,2)</f>
        <v>0</v>
      </c>
      <c r="E2" s="156">
        <f>ROUND(B2+C2-D2,2)</f>
        <v>0</v>
      </c>
    </row>
    <row r="3" spans="1:5" ht="14.4">
      <c r="A3" s="19" t="s">
        <v>508</v>
      </c>
      <c r="B3" s="289">
        <f>ROUND(设定提存计划列示!B5,2)</f>
        <v>0</v>
      </c>
      <c r="C3" s="289">
        <f>ROUND(设定提存计划列示!C5,2)</f>
        <v>0</v>
      </c>
      <c r="D3" s="289">
        <f>ROUND(设定提存计划列示!D5,2)</f>
        <v>0</v>
      </c>
      <c r="E3" s="156">
        <f>ROUND(B3+C3-D3,2)</f>
        <v>0</v>
      </c>
    </row>
    <row r="4" spans="1:5" ht="14.4">
      <c r="A4" s="19" t="s">
        <v>509</v>
      </c>
      <c r="B4" s="264"/>
      <c r="C4" s="264"/>
      <c r="D4" s="264"/>
      <c r="E4" s="156">
        <f>ROUND(B4+C4-D4,2)</f>
        <v>0</v>
      </c>
    </row>
    <row r="5" spans="1:5" ht="14.4">
      <c r="A5" s="19" t="s">
        <v>510</v>
      </c>
      <c r="B5" s="264"/>
      <c r="C5" s="264"/>
      <c r="D5" s="264"/>
      <c r="E5" s="156">
        <f>ROUND(B5+C5-D5,2)</f>
        <v>0</v>
      </c>
    </row>
    <row r="6" spans="1:5" ht="14.4">
      <c r="A6" s="44" t="s">
        <v>511</v>
      </c>
      <c r="B6" s="264"/>
      <c r="C6" s="264"/>
      <c r="D6" s="264"/>
      <c r="E6" s="156">
        <f>ROUND(B6+C6-D6,2)</f>
        <v>0</v>
      </c>
    </row>
    <row r="7" spans="1:5" ht="14.4">
      <c r="A7" s="20" t="s">
        <v>204</v>
      </c>
      <c r="B7" s="156">
        <f>ROUND(SUM(B2:B6),2)</f>
        <v>0</v>
      </c>
      <c r="C7" s="156">
        <f>ROUND(SUM(C2:C6),2)</f>
        <v>0</v>
      </c>
      <c r="D7" s="156">
        <f>ROUND(SUM(D2:D6),2)</f>
        <v>0</v>
      </c>
      <c r="E7" s="156">
        <f>ROUND(SUM(E2:E6),2)</f>
        <v>0</v>
      </c>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codeName="Sheet259">
    <tabColor rgb="FFFFC000"/>
  </sheetPr>
  <dimension ref="A1:E14"/>
  <sheetViews>
    <sheetView workbookViewId="0">
      <selection activeCell="I18" sqref="I18"/>
    </sheetView>
  </sheetViews>
  <sheetFormatPr defaultRowHeight="13.8"/>
  <cols>
    <col min="1" max="1" width="29.21875" style="18" bestFit="1" customWidth="1"/>
    <col min="2" max="16384" width="8.88671875" style="18"/>
  </cols>
  <sheetData>
    <row r="1" spans="1:5" ht="14.4">
      <c r="A1" s="41" t="s">
        <v>28</v>
      </c>
      <c r="B1" s="35" t="s">
        <v>200</v>
      </c>
      <c r="C1" s="35" t="s">
        <v>342</v>
      </c>
      <c r="D1" s="20" t="s">
        <v>335</v>
      </c>
      <c r="E1" s="35" t="s">
        <v>199</v>
      </c>
    </row>
    <row r="2" spans="1:5" ht="14.4">
      <c r="A2" s="51" t="s">
        <v>512</v>
      </c>
      <c r="B2" s="289">
        <f>ROUND(SUMIF(应付职工薪酬明细表!B:B,A2,应付职工薪酬明细表!C:C),2)</f>
        <v>0</v>
      </c>
      <c r="C2" s="289">
        <f>ROUND(SUMIF(应付职工薪酬明细表!B:B,短期薪酬列示!A2,应付职工薪酬明细表!L:L),2)</f>
        <v>0</v>
      </c>
      <c r="D2" s="289">
        <f>ROUND(SUMIF(应付职工薪酬明细表!B:B,短期薪酬列示!A2,应付职工薪酬明细表!M:M),2)</f>
        <v>0</v>
      </c>
      <c r="E2" s="289">
        <f t="shared" ref="E2:E13" si="0">ROUND(B2+C2-D2,2)</f>
        <v>0</v>
      </c>
    </row>
    <row r="3" spans="1:5" ht="14.4">
      <c r="A3" s="51" t="s">
        <v>513</v>
      </c>
      <c r="B3" s="289">
        <f>ROUND(SUMIF(应付职工薪酬明细表!B:B,A3,应付职工薪酬明细表!C:C),2)</f>
        <v>0</v>
      </c>
      <c r="C3" s="289">
        <f>ROUND(SUMIF(应付职工薪酬明细表!B:B,短期薪酬列示!A3,应付职工薪酬明细表!L:L),2)</f>
        <v>0</v>
      </c>
      <c r="D3" s="289">
        <f>ROUND(SUMIF(应付职工薪酬明细表!B:B,短期薪酬列示!A3,应付职工薪酬明细表!M:M),2)</f>
        <v>0</v>
      </c>
      <c r="E3" s="289">
        <f t="shared" si="0"/>
        <v>0</v>
      </c>
    </row>
    <row r="4" spans="1:5" ht="14.4">
      <c r="A4" s="51" t="s">
        <v>514</v>
      </c>
      <c r="B4" s="289">
        <f>ROUND(SUM(B5:B8),2)</f>
        <v>0</v>
      </c>
      <c r="C4" s="289">
        <f>ROUND(SUM(C5:C8),2)</f>
        <v>0</v>
      </c>
      <c r="D4" s="289">
        <f>ROUND(SUM(D5:D8),2)</f>
        <v>0</v>
      </c>
      <c r="E4" s="289">
        <f t="shared" si="0"/>
        <v>0</v>
      </c>
    </row>
    <row r="5" spans="1:5" ht="14.4">
      <c r="A5" s="51" t="s">
        <v>515</v>
      </c>
      <c r="B5" s="289">
        <f>ROUND(SUMIF(应付职工薪酬明细表!B:B,A5,应付职工薪酬明细表!C:C),2)</f>
        <v>0</v>
      </c>
      <c r="C5" s="289">
        <f>ROUND(SUMIF(应付职工薪酬明细表!B:B,短期薪酬列示!A5,应付职工薪酬明细表!L:L),2)</f>
        <v>0</v>
      </c>
      <c r="D5" s="289">
        <f>ROUND(SUMIF(应付职工薪酬明细表!B:B,短期薪酬列示!A5,应付职工薪酬明细表!M:M),2)</f>
        <v>0</v>
      </c>
      <c r="E5" s="289">
        <f t="shared" si="0"/>
        <v>0</v>
      </c>
    </row>
    <row r="6" spans="1:5">
      <c r="A6" s="52" t="s">
        <v>2251</v>
      </c>
      <c r="B6" s="289">
        <f>ROUND(SUMIF(应付职工薪酬明细表!B:B,A6,应付职工薪酬明细表!C:C),2)</f>
        <v>0</v>
      </c>
      <c r="C6" s="289">
        <f>ROUND(SUMIF(应付职工薪酬明细表!B:B,短期薪酬列示!A6,应付职工薪酬明细表!L:L),2)</f>
        <v>0</v>
      </c>
      <c r="D6" s="289">
        <f>ROUND(SUMIF(应付职工薪酬明细表!B:B,短期薪酬列示!A6,应付职工薪酬明细表!M:M),2)</f>
        <v>0</v>
      </c>
      <c r="E6" s="289">
        <f t="shared" si="0"/>
        <v>0</v>
      </c>
    </row>
    <row r="7" spans="1:5">
      <c r="A7" s="52" t="s">
        <v>2252</v>
      </c>
      <c r="B7" s="289">
        <f>ROUND(SUMIF(应付职工薪酬明细表!B:B,A7,应付职工薪酬明细表!C:C),2)</f>
        <v>0</v>
      </c>
      <c r="C7" s="289">
        <f>ROUND(SUMIF(应付职工薪酬明细表!B:B,短期薪酬列示!A7,应付职工薪酬明细表!L:L),2)</f>
        <v>0</v>
      </c>
      <c r="D7" s="289">
        <f>ROUND(SUMIF(应付职工薪酬明细表!B:B,短期薪酬列示!A7,应付职工薪酬明细表!M:M),2)</f>
        <v>0</v>
      </c>
      <c r="E7" s="289">
        <f t="shared" si="0"/>
        <v>0</v>
      </c>
    </row>
    <row r="8" spans="1:5">
      <c r="A8" s="52" t="s">
        <v>202</v>
      </c>
      <c r="B8" s="289">
        <f>ROUND(SUMIF(应付职工薪酬明细表!B:B,A8,应付职工薪酬明细表!C:C),2)</f>
        <v>0</v>
      </c>
      <c r="C8" s="289">
        <f>ROUND(SUMIF(应付职工薪酬明细表!B:B,短期薪酬列示!A8,应付职工薪酬明细表!L:L),2)</f>
        <v>0</v>
      </c>
      <c r="D8" s="289">
        <f>ROUND(SUMIF(应付职工薪酬明细表!B:B,短期薪酬列示!A8,应付职工薪酬明细表!M:M),2)</f>
        <v>0</v>
      </c>
      <c r="E8" s="289">
        <f t="shared" si="0"/>
        <v>0</v>
      </c>
    </row>
    <row r="9" spans="1:5" ht="14.4">
      <c r="A9" s="51" t="s">
        <v>516</v>
      </c>
      <c r="B9" s="289">
        <f>ROUND(SUMIF(应付职工薪酬明细表!B:B,A9,应付职工薪酬明细表!C:C),2)</f>
        <v>0</v>
      </c>
      <c r="C9" s="289">
        <f>ROUND(SUMIF(应付职工薪酬明细表!B:B,短期薪酬列示!A9,应付职工薪酬明细表!L:L),2)</f>
        <v>0</v>
      </c>
      <c r="D9" s="289">
        <f>ROUND(SUMIF(应付职工薪酬明细表!B:B,短期薪酬列示!A9,应付职工薪酬明细表!M:M),2)</f>
        <v>0</v>
      </c>
      <c r="E9" s="289">
        <f t="shared" si="0"/>
        <v>0</v>
      </c>
    </row>
    <row r="10" spans="1:5" ht="14.4">
      <c r="A10" s="51" t="s">
        <v>517</v>
      </c>
      <c r="B10" s="289">
        <f>ROUND(SUMIF(应付职工薪酬明细表!B:B,A10,应付职工薪酬明细表!C:C),2)</f>
        <v>0</v>
      </c>
      <c r="C10" s="289">
        <f>ROUND(SUMIF(应付职工薪酬明细表!B:B,短期薪酬列示!A10,应付职工薪酬明细表!L:L),2)</f>
        <v>0</v>
      </c>
      <c r="D10" s="289">
        <f>ROUND(SUMIF(应付职工薪酬明细表!B:B,短期薪酬列示!A10,应付职工薪酬明细表!M:M),2)</f>
        <v>0</v>
      </c>
      <c r="E10" s="289">
        <f t="shared" si="0"/>
        <v>0</v>
      </c>
    </row>
    <row r="11" spans="1:5" ht="14.4">
      <c r="A11" s="51" t="s">
        <v>518</v>
      </c>
      <c r="B11" s="289">
        <f>ROUND(SUMIF(应付职工薪酬明细表!B:B,A11,应付职工薪酬明细表!C:C),2)</f>
        <v>0</v>
      </c>
      <c r="C11" s="289">
        <f>ROUND(SUMIF(应付职工薪酬明细表!B:B,短期薪酬列示!A11,应付职工薪酬明细表!L:L),2)</f>
        <v>0</v>
      </c>
      <c r="D11" s="289">
        <f>ROUND(SUMIF(应付职工薪酬明细表!B:B,短期薪酬列示!A11,应付职工薪酬明细表!M:M),2)</f>
        <v>0</v>
      </c>
      <c r="E11" s="289">
        <f t="shared" si="0"/>
        <v>0</v>
      </c>
    </row>
    <row r="12" spans="1:5" ht="14.4">
      <c r="A12" s="51" t="s">
        <v>519</v>
      </c>
      <c r="B12" s="289">
        <f>ROUND(SUMIF(应付职工薪酬明细表!B:B,A12,应付职工薪酬明细表!C:C),2)</f>
        <v>0</v>
      </c>
      <c r="C12" s="289">
        <f>ROUND(SUMIF(应付职工薪酬明细表!B:B,短期薪酬列示!A12,应付职工薪酬明细表!L:L),2)</f>
        <v>0</v>
      </c>
      <c r="D12" s="289">
        <f>ROUND(SUMIF(应付职工薪酬明细表!B:B,短期薪酬列示!A12,应付职工薪酬明细表!M:M),2)</f>
        <v>0</v>
      </c>
      <c r="E12" s="289">
        <f t="shared" si="0"/>
        <v>0</v>
      </c>
    </row>
    <row r="13" spans="1:5" ht="14.4">
      <c r="A13" s="51" t="s">
        <v>520</v>
      </c>
      <c r="B13" s="289">
        <f>ROUND(SUMIF(应付职工薪酬明细表!B:B,A13,应付职工薪酬明细表!C:C),2)</f>
        <v>0</v>
      </c>
      <c r="C13" s="289">
        <f>ROUND(SUMIF(应付职工薪酬明细表!B:B,短期薪酬列示!A13,应付职工薪酬明细表!L:L),2)</f>
        <v>0</v>
      </c>
      <c r="D13" s="289">
        <f>ROUND(SUMIF(应付职工薪酬明细表!B:B,短期薪酬列示!A13,应付职工薪酬明细表!M:M),2)</f>
        <v>0</v>
      </c>
      <c r="E13" s="289">
        <f t="shared" si="0"/>
        <v>0</v>
      </c>
    </row>
    <row r="14" spans="1:5" ht="14.4">
      <c r="A14" s="35" t="s">
        <v>204</v>
      </c>
      <c r="B14" s="289">
        <f>ROUND(SUM(B2:B13,-B4),2)</f>
        <v>0</v>
      </c>
      <c r="C14" s="289">
        <f>ROUND(SUM(C2:C13,-C4),2)</f>
        <v>0</v>
      </c>
      <c r="D14" s="289">
        <f>ROUND(SUM(D2:D13,-D4),2)</f>
        <v>0</v>
      </c>
      <c r="E14" s="289">
        <f>ROUND(SUM(E2:E13,-E4),2)</f>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codeName="Sheet260">
    <tabColor rgb="FFFFC000"/>
  </sheetPr>
  <dimension ref="A1:E5"/>
  <sheetViews>
    <sheetView workbookViewId="0">
      <selection activeCell="H16" sqref="H16"/>
    </sheetView>
  </sheetViews>
  <sheetFormatPr defaultRowHeight="13.8"/>
  <cols>
    <col min="1" max="1" width="22.6640625" style="18" customWidth="1"/>
    <col min="2" max="16384" width="8.88671875" style="18"/>
  </cols>
  <sheetData>
    <row r="1" spans="1:5">
      <c r="A1" s="24" t="s">
        <v>28</v>
      </c>
      <c r="B1" s="24" t="s">
        <v>2444</v>
      </c>
      <c r="C1" s="24" t="s">
        <v>2445</v>
      </c>
      <c r="D1" s="24" t="s">
        <v>2446</v>
      </c>
      <c r="E1" s="24" t="s">
        <v>2447</v>
      </c>
    </row>
    <row r="2" spans="1:5">
      <c r="A2" s="69" t="s">
        <v>2488</v>
      </c>
      <c r="B2" s="583">
        <f>ROUND(SUMIF(应付职工薪酬明细表!B:B,设定提存计划列示!A2,应付职工薪酬明细表!C:C),2)</f>
        <v>0</v>
      </c>
      <c r="C2" s="583">
        <f>ROUND(SUMIF(应付职工薪酬明细表!B:B,设定提存计划列示!A2,应付职工薪酬明细表!L:L),2)</f>
        <v>0</v>
      </c>
      <c r="D2" s="583">
        <f>ROUND(SUMIF(应付职工薪酬明细表!B:B,A2,应付职工薪酬明细表!M:M),2)</f>
        <v>0</v>
      </c>
      <c r="E2" s="77">
        <f>ROUND(B2+C2-D2,2)</f>
        <v>0</v>
      </c>
    </row>
    <row r="3" spans="1:5">
      <c r="A3" s="69" t="s">
        <v>2489</v>
      </c>
      <c r="B3" s="583">
        <f>ROUND(SUMIF(应付职工薪酬明细表!B:B,设定提存计划列示!A3,应付职工薪酬明细表!C:C),2)</f>
        <v>0</v>
      </c>
      <c r="C3" s="583">
        <f>ROUND(SUMIF(应付职工薪酬明细表!B:B,设定提存计划列示!A3,应付职工薪酬明细表!L:L),2)</f>
        <v>0</v>
      </c>
      <c r="D3" s="583">
        <f>ROUND(SUMIF(应付职工薪酬明细表!B:B,A3,应付职工薪酬明细表!M:M),2)</f>
        <v>0</v>
      </c>
      <c r="E3" s="77">
        <f>ROUND(B3+C3-D3,2)</f>
        <v>0</v>
      </c>
    </row>
    <row r="4" spans="1:5">
      <c r="A4" s="69" t="s">
        <v>2490</v>
      </c>
      <c r="B4" s="583">
        <f>ROUND(SUMIF(应付职工薪酬明细表!B:B,设定提存计划列示!A4,应付职工薪酬明细表!C:C),2)</f>
        <v>0</v>
      </c>
      <c r="C4" s="583">
        <f>ROUND(SUMIF(应付职工薪酬明细表!B:B,设定提存计划列示!A4,应付职工薪酬明细表!L:L),2)</f>
        <v>0</v>
      </c>
      <c r="D4" s="583">
        <f>ROUND(SUMIF(应付职工薪酬明细表!B:B,A4,应付职工薪酬明细表!M:M),2)</f>
        <v>0</v>
      </c>
      <c r="E4" s="77">
        <f>ROUND(B4+C4-D4,2)</f>
        <v>0</v>
      </c>
    </row>
    <row r="5" spans="1:5">
      <c r="A5" s="24" t="s">
        <v>204</v>
      </c>
      <c r="B5" s="77">
        <f>ROUND(SUM(B2:B4),2)</f>
        <v>0</v>
      </c>
      <c r="C5" s="77">
        <f>ROUND(SUM(C2:C4),2)</f>
        <v>0</v>
      </c>
      <c r="D5" s="77">
        <f>ROUND(SUM(D2:D4),2)</f>
        <v>0</v>
      </c>
      <c r="E5" s="77">
        <f>ROUND(SUM(E2:E4),2)</f>
        <v>0</v>
      </c>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C401-610E-4ED9-B47D-01714CE69FFD}">
  <sheetPr codeName="Sheet261"/>
  <dimension ref="A1:P37"/>
  <sheetViews>
    <sheetView workbookViewId="0">
      <selection activeCell="I22" sqref="I22"/>
    </sheetView>
  </sheetViews>
  <sheetFormatPr defaultRowHeight="14.4"/>
  <cols>
    <col min="1" max="1" width="9.5546875" style="493" bestFit="1" customWidth="1"/>
    <col min="2" max="2" width="13.44140625" style="493" customWidth="1"/>
    <col min="3" max="3" width="16.109375" style="493" bestFit="1" customWidth="1"/>
    <col min="4" max="4" width="29.77734375" style="493" bestFit="1" customWidth="1"/>
    <col min="5" max="8" width="9.109375" style="493" bestFit="1" customWidth="1"/>
    <col min="9" max="9" width="17.21875" style="493" bestFit="1" customWidth="1"/>
    <col min="10" max="10" width="9.109375" style="493" bestFit="1" customWidth="1"/>
    <col min="11" max="11" width="17.21875" style="493" bestFit="1" customWidth="1"/>
    <col min="12" max="12" width="17.21875" style="574" bestFit="1" customWidth="1"/>
    <col min="13" max="13" width="17.21875" style="493" bestFit="1" customWidth="1"/>
    <col min="14" max="14" width="15.21875" style="493" bestFit="1" customWidth="1"/>
    <col min="15" max="15" width="16.109375" style="493" bestFit="1" customWidth="1"/>
    <col min="16" max="16" width="15.21875" style="493" bestFit="1" customWidth="1"/>
    <col min="17" max="16384" width="8.88671875" style="493"/>
  </cols>
  <sheetData>
    <row r="1" spans="1:16">
      <c r="A1" s="493" t="s">
        <v>2383</v>
      </c>
      <c r="B1" s="568" t="s">
        <v>28</v>
      </c>
      <c r="C1" s="568" t="s">
        <v>3613</v>
      </c>
      <c r="D1" s="571" t="s">
        <v>3614</v>
      </c>
      <c r="E1" s="567" t="s">
        <v>3619</v>
      </c>
      <c r="F1" s="567" t="s">
        <v>3620</v>
      </c>
      <c r="G1" s="567" t="s">
        <v>3621</v>
      </c>
      <c r="H1" s="567" t="s">
        <v>3622</v>
      </c>
      <c r="I1" s="567" t="s">
        <v>3623</v>
      </c>
      <c r="J1" s="567" t="s">
        <v>3624</v>
      </c>
      <c r="K1" s="567" t="s">
        <v>3625</v>
      </c>
      <c r="L1" s="572" t="s">
        <v>3618</v>
      </c>
      <c r="M1" s="570" t="s">
        <v>3615</v>
      </c>
      <c r="N1" s="570" t="s">
        <v>3616</v>
      </c>
      <c r="O1" s="568" t="s">
        <v>3617</v>
      </c>
      <c r="P1" s="570"/>
    </row>
    <row r="2" spans="1:16">
      <c r="A2" s="493" t="str">
        <f>IF(OR(C2&gt;0,L2&gt;0,M2&gt;0,O2&lt;0),基础信息!$B$1,"")</f>
        <v/>
      </c>
      <c r="B2" s="575"/>
      <c r="C2" s="576"/>
      <c r="D2" s="577"/>
      <c r="E2" s="578"/>
      <c r="F2" s="578"/>
      <c r="G2" s="578"/>
      <c r="H2" s="578"/>
      <c r="I2" s="578"/>
      <c r="J2" s="578"/>
      <c r="K2" s="578"/>
      <c r="L2" s="573">
        <f>SUM(E2:K2)</f>
        <v>0</v>
      </c>
      <c r="M2" s="582"/>
      <c r="N2" s="582"/>
      <c r="O2" s="568">
        <f>C2+D2+L2-M2-N2</f>
        <v>0</v>
      </c>
      <c r="P2" s="570"/>
    </row>
    <row r="3" spans="1:16">
      <c r="A3" s="493" t="str">
        <f>IF(OR(C3&gt;0,L3&gt;0,M3&gt;0,O3&lt;0),基础信息!$B$1,"")</f>
        <v/>
      </c>
      <c r="B3" s="575"/>
      <c r="C3" s="579"/>
      <c r="D3" s="579"/>
      <c r="E3" s="580"/>
      <c r="F3" s="580"/>
      <c r="G3" s="580"/>
      <c r="H3" s="580"/>
      <c r="I3" s="580"/>
      <c r="J3" s="580"/>
      <c r="K3" s="580"/>
      <c r="L3" s="573">
        <f t="shared" ref="L3:L25" si="0">SUM(E3:K3)</f>
        <v>0</v>
      </c>
      <c r="M3" s="579"/>
      <c r="N3" s="579"/>
      <c r="O3" s="568">
        <f t="shared" ref="O3:O25" si="1">C3+D3+L3-M3-N3</f>
        <v>0</v>
      </c>
      <c r="P3" s="566"/>
    </row>
    <row r="4" spans="1:16">
      <c r="A4" s="493" t="str">
        <f>IF(OR(C4&gt;0,L4&gt;0,M4&gt;0,O4&lt;0),基础信息!$B$1,"")</f>
        <v/>
      </c>
      <c r="B4" s="575"/>
      <c r="C4" s="581"/>
      <c r="D4" s="581"/>
      <c r="E4" s="581"/>
      <c r="F4" s="581"/>
      <c r="G4" s="581"/>
      <c r="H4" s="581"/>
      <c r="I4" s="581"/>
      <c r="J4" s="581"/>
      <c r="K4" s="581"/>
      <c r="L4" s="573">
        <f t="shared" si="0"/>
        <v>0</v>
      </c>
      <c r="M4" s="581"/>
      <c r="N4" s="581"/>
      <c r="O4" s="568">
        <f t="shared" si="1"/>
        <v>0</v>
      </c>
      <c r="P4" s="569"/>
    </row>
    <row r="5" spans="1:16">
      <c r="A5" s="493" t="str">
        <f>IF(OR(C5&gt;0,L5&gt;0,M5&gt;0,O5&lt;0),基础信息!$B$1,"")</f>
        <v/>
      </c>
      <c r="B5" s="575"/>
      <c r="C5" s="579"/>
      <c r="D5" s="579"/>
      <c r="E5" s="580"/>
      <c r="F5" s="580"/>
      <c r="G5" s="580"/>
      <c r="H5" s="580"/>
      <c r="I5" s="580"/>
      <c r="J5" s="580"/>
      <c r="K5" s="580"/>
      <c r="L5" s="573">
        <f t="shared" si="0"/>
        <v>0</v>
      </c>
      <c r="M5" s="579"/>
      <c r="N5" s="579"/>
      <c r="O5" s="568">
        <f t="shared" si="1"/>
        <v>0</v>
      </c>
      <c r="P5" s="566"/>
    </row>
    <row r="6" spans="1:16">
      <c r="A6" s="493" t="str">
        <f>IF(OR(C6&gt;0,L6&gt;0,M6&gt;0,O6&lt;0),基础信息!$B$1,"")</f>
        <v/>
      </c>
      <c r="B6" s="575"/>
      <c r="C6" s="579"/>
      <c r="D6" s="579"/>
      <c r="E6" s="580"/>
      <c r="F6" s="580"/>
      <c r="G6" s="580"/>
      <c r="H6" s="580"/>
      <c r="I6" s="580"/>
      <c r="J6" s="580"/>
      <c r="K6" s="580"/>
      <c r="L6" s="573">
        <f t="shared" si="0"/>
        <v>0</v>
      </c>
      <c r="M6" s="579"/>
      <c r="N6" s="579"/>
      <c r="O6" s="568">
        <f t="shared" si="1"/>
        <v>0</v>
      </c>
      <c r="P6" s="566"/>
    </row>
    <row r="7" spans="1:16">
      <c r="A7" s="493" t="str">
        <f>IF(OR(C7&gt;0,L7&gt;0,M7&gt;0,O7&lt;0),基础信息!$B$1,"")</f>
        <v/>
      </c>
      <c r="B7" s="575"/>
      <c r="C7" s="579"/>
      <c r="D7" s="579"/>
      <c r="E7" s="580"/>
      <c r="F7" s="580"/>
      <c r="G7" s="580"/>
      <c r="H7" s="580"/>
      <c r="I7" s="580"/>
      <c r="J7" s="580"/>
      <c r="K7" s="580"/>
      <c r="L7" s="573">
        <f t="shared" si="0"/>
        <v>0</v>
      </c>
      <c r="M7" s="579"/>
      <c r="N7" s="579"/>
      <c r="O7" s="568">
        <f t="shared" si="1"/>
        <v>0</v>
      </c>
      <c r="P7" s="566"/>
    </row>
    <row r="8" spans="1:16">
      <c r="A8" s="493" t="str">
        <f>IF(OR(C8&gt;0,L8&gt;0,M8&gt;0,O8&lt;0),基础信息!$B$1,"")</f>
        <v/>
      </c>
      <c r="B8" s="575"/>
      <c r="C8" s="581"/>
      <c r="D8" s="581"/>
      <c r="E8" s="581"/>
      <c r="F8" s="581"/>
      <c r="G8" s="581"/>
      <c r="H8" s="581"/>
      <c r="I8" s="581"/>
      <c r="J8" s="581"/>
      <c r="K8" s="581"/>
      <c r="L8" s="573">
        <f t="shared" si="0"/>
        <v>0</v>
      </c>
      <c r="M8" s="581"/>
      <c r="N8" s="581"/>
      <c r="O8" s="568">
        <f t="shared" si="1"/>
        <v>0</v>
      </c>
      <c r="P8" s="569"/>
    </row>
    <row r="9" spans="1:16">
      <c r="A9" s="493" t="str">
        <f>IF(OR(C9&gt;0,L9&gt;0,M9&gt;0,O9&lt;0),基础信息!$B$1,"")</f>
        <v/>
      </c>
      <c r="B9" s="575"/>
      <c r="C9" s="579"/>
      <c r="D9" s="579"/>
      <c r="E9" s="580"/>
      <c r="F9" s="580"/>
      <c r="G9" s="580"/>
      <c r="H9" s="580"/>
      <c r="I9" s="580"/>
      <c r="J9" s="580"/>
      <c r="K9" s="580"/>
      <c r="L9" s="573">
        <f t="shared" si="0"/>
        <v>0</v>
      </c>
      <c r="M9" s="579"/>
      <c r="N9" s="579"/>
      <c r="O9" s="568">
        <f t="shared" si="1"/>
        <v>0</v>
      </c>
      <c r="P9" s="566"/>
    </row>
    <row r="10" spans="1:16">
      <c r="A10" s="493" t="str">
        <f>IF(OR(C10&gt;0,L10&gt;0,M10&gt;0,O10&lt;0),基础信息!$B$1,"")</f>
        <v/>
      </c>
      <c r="B10" s="575"/>
      <c r="C10" s="579"/>
      <c r="D10" s="579"/>
      <c r="E10" s="580"/>
      <c r="F10" s="580"/>
      <c r="G10" s="580"/>
      <c r="H10" s="580"/>
      <c r="I10" s="580"/>
      <c r="J10" s="580"/>
      <c r="K10" s="580"/>
      <c r="L10" s="573">
        <f t="shared" si="0"/>
        <v>0</v>
      </c>
      <c r="M10" s="579"/>
      <c r="N10" s="579"/>
      <c r="O10" s="568">
        <f t="shared" si="1"/>
        <v>0</v>
      </c>
      <c r="P10" s="566"/>
    </row>
    <row r="11" spans="1:16">
      <c r="A11" s="493" t="str">
        <f>IF(OR(C11&gt;0,L11&gt;0,M11&gt;0,O11&lt;0),基础信息!$B$1,"")</f>
        <v/>
      </c>
      <c r="B11" s="575"/>
      <c r="C11" s="579"/>
      <c r="D11" s="579"/>
      <c r="E11" s="580"/>
      <c r="F11" s="580"/>
      <c r="G11" s="580"/>
      <c r="H11" s="580"/>
      <c r="I11" s="580"/>
      <c r="J11" s="580"/>
      <c r="K11" s="580"/>
      <c r="L11" s="573">
        <f t="shared" si="0"/>
        <v>0</v>
      </c>
      <c r="M11" s="579"/>
      <c r="N11" s="579"/>
      <c r="O11" s="568">
        <f t="shared" si="1"/>
        <v>0</v>
      </c>
      <c r="P11" s="566"/>
    </row>
    <row r="12" spans="1:16">
      <c r="A12" s="493" t="str">
        <f>IF(OR(C12&gt;0,L12&gt;0,M12&gt;0,O12&lt;0),基础信息!$B$1,"")</f>
        <v/>
      </c>
      <c r="B12" s="575"/>
      <c r="C12" s="579"/>
      <c r="D12" s="579"/>
      <c r="E12" s="580"/>
      <c r="F12" s="580"/>
      <c r="G12" s="580"/>
      <c r="H12" s="580"/>
      <c r="I12" s="580"/>
      <c r="J12" s="580"/>
      <c r="K12" s="580"/>
      <c r="L12" s="573">
        <f t="shared" si="0"/>
        <v>0</v>
      </c>
      <c r="M12" s="579"/>
      <c r="N12" s="579"/>
      <c r="O12" s="568">
        <f t="shared" si="1"/>
        <v>0</v>
      </c>
      <c r="P12" s="566"/>
    </row>
    <row r="13" spans="1:16">
      <c r="A13" s="493" t="str">
        <f>IF(OR(C13&gt;0,L13&gt;0,M13&gt;0,O13&lt;0),基础信息!$B$1,"")</f>
        <v/>
      </c>
      <c r="B13" s="575"/>
      <c r="C13" s="579"/>
      <c r="D13" s="579"/>
      <c r="E13" s="580"/>
      <c r="F13" s="580"/>
      <c r="G13" s="580"/>
      <c r="H13" s="580"/>
      <c r="I13" s="580"/>
      <c r="J13" s="580"/>
      <c r="K13" s="580"/>
      <c r="L13" s="573">
        <f t="shared" si="0"/>
        <v>0</v>
      </c>
      <c r="M13" s="579"/>
      <c r="N13" s="579"/>
      <c r="O13" s="568">
        <f t="shared" si="1"/>
        <v>0</v>
      </c>
      <c r="P13" s="566"/>
    </row>
    <row r="14" spans="1:16">
      <c r="A14" s="493" t="str">
        <f>IF(OR(C14&gt;0,L14&gt;0,M14&gt;0,O14&lt;0),基础信息!$B$1,"")</f>
        <v/>
      </c>
      <c r="B14" s="575"/>
      <c r="C14" s="579"/>
      <c r="D14" s="579"/>
      <c r="E14" s="580"/>
      <c r="F14" s="580"/>
      <c r="G14" s="580"/>
      <c r="H14" s="580"/>
      <c r="I14" s="580"/>
      <c r="J14" s="580"/>
      <c r="K14" s="580"/>
      <c r="L14" s="573">
        <f t="shared" si="0"/>
        <v>0</v>
      </c>
      <c r="M14" s="579"/>
      <c r="N14" s="579"/>
      <c r="O14" s="568">
        <f t="shared" si="1"/>
        <v>0</v>
      </c>
      <c r="P14" s="566"/>
    </row>
    <row r="15" spans="1:16">
      <c r="A15" s="493" t="str">
        <f>IF(OR(C15&gt;0,L15&gt;0,M15&gt;0,O15&lt;0),基础信息!$B$1,"")</f>
        <v/>
      </c>
      <c r="B15" s="575"/>
      <c r="C15" s="579"/>
      <c r="D15" s="579"/>
      <c r="E15" s="580"/>
      <c r="F15" s="580"/>
      <c r="G15" s="580"/>
      <c r="H15" s="580"/>
      <c r="I15" s="580"/>
      <c r="J15" s="580"/>
      <c r="K15" s="580"/>
      <c r="L15" s="573">
        <f t="shared" si="0"/>
        <v>0</v>
      </c>
      <c r="M15" s="579"/>
      <c r="N15" s="579"/>
      <c r="O15" s="568">
        <f t="shared" si="1"/>
        <v>0</v>
      </c>
      <c r="P15" s="566"/>
    </row>
    <row r="16" spans="1:16">
      <c r="A16" s="493" t="str">
        <f>IF(OR(C16&gt;0,L16&gt;0,M16&gt;0,O16&lt;0),基础信息!$B$1,"")</f>
        <v/>
      </c>
      <c r="B16" s="575"/>
      <c r="C16" s="579"/>
      <c r="D16" s="579"/>
      <c r="E16" s="580"/>
      <c r="F16" s="580"/>
      <c r="G16" s="580"/>
      <c r="H16" s="580"/>
      <c r="I16" s="580"/>
      <c r="J16" s="580"/>
      <c r="K16" s="580"/>
      <c r="L16" s="573">
        <f t="shared" si="0"/>
        <v>0</v>
      </c>
      <c r="M16" s="579"/>
      <c r="N16" s="579"/>
      <c r="O16" s="568">
        <f t="shared" si="1"/>
        <v>0</v>
      </c>
      <c r="P16" s="566"/>
    </row>
    <row r="17" spans="1:16">
      <c r="A17" s="493" t="str">
        <f>IF(OR(C17&gt;0,L17&gt;0,M17&gt;0,O17&lt;0),基础信息!$B$1,"")</f>
        <v/>
      </c>
      <c r="B17" s="575"/>
      <c r="C17" s="579"/>
      <c r="D17" s="579"/>
      <c r="E17" s="580"/>
      <c r="F17" s="580"/>
      <c r="G17" s="580"/>
      <c r="H17" s="580"/>
      <c r="I17" s="580"/>
      <c r="J17" s="580"/>
      <c r="K17" s="580"/>
      <c r="L17" s="573">
        <f t="shared" si="0"/>
        <v>0</v>
      </c>
      <c r="M17" s="579"/>
      <c r="N17" s="579"/>
      <c r="O17" s="568">
        <f t="shared" si="1"/>
        <v>0</v>
      </c>
      <c r="P17" s="566"/>
    </row>
    <row r="18" spans="1:16">
      <c r="A18" s="493" t="str">
        <f>IF(OR(C18&gt;0,L18&gt;0,M18&gt;0,O18&lt;0),基础信息!$B$1,"")</f>
        <v/>
      </c>
      <c r="B18" s="575"/>
      <c r="C18" s="579"/>
      <c r="D18" s="579"/>
      <c r="E18" s="580"/>
      <c r="F18" s="580"/>
      <c r="G18" s="580"/>
      <c r="H18" s="580"/>
      <c r="I18" s="580"/>
      <c r="J18" s="580"/>
      <c r="K18" s="580"/>
      <c r="L18" s="573">
        <f t="shared" si="0"/>
        <v>0</v>
      </c>
      <c r="M18" s="579"/>
      <c r="N18" s="579"/>
      <c r="O18" s="568">
        <f t="shared" si="1"/>
        <v>0</v>
      </c>
      <c r="P18" s="566"/>
    </row>
    <row r="19" spans="1:16">
      <c r="A19" s="493" t="str">
        <f>IF(OR(C19&gt;0,L19&gt;0,M19&gt;0,O19&lt;0),基础信息!$B$1,"")</f>
        <v/>
      </c>
      <c r="B19" s="575"/>
      <c r="C19" s="581"/>
      <c r="D19" s="581"/>
      <c r="E19" s="581"/>
      <c r="F19" s="581"/>
      <c r="G19" s="581"/>
      <c r="H19" s="581"/>
      <c r="I19" s="581"/>
      <c r="J19" s="581"/>
      <c r="K19" s="581"/>
      <c r="L19" s="573">
        <f t="shared" si="0"/>
        <v>0</v>
      </c>
      <c r="M19" s="581"/>
      <c r="N19" s="581"/>
      <c r="O19" s="568">
        <f t="shared" si="1"/>
        <v>0</v>
      </c>
      <c r="P19" s="569"/>
    </row>
    <row r="20" spans="1:16">
      <c r="A20" s="493" t="str">
        <f>IF(OR(C20&gt;0,L20&gt;0,M20&gt;0,O20&lt;0),基础信息!$B$1,"")</f>
        <v/>
      </c>
      <c r="B20" s="575"/>
      <c r="C20" s="579"/>
      <c r="D20" s="579"/>
      <c r="E20" s="580"/>
      <c r="F20" s="580"/>
      <c r="G20" s="580"/>
      <c r="H20" s="580"/>
      <c r="I20" s="580"/>
      <c r="J20" s="580"/>
      <c r="K20" s="580"/>
      <c r="L20" s="573">
        <f t="shared" si="0"/>
        <v>0</v>
      </c>
      <c r="M20" s="579"/>
      <c r="N20" s="579"/>
      <c r="O20" s="568">
        <f t="shared" si="1"/>
        <v>0</v>
      </c>
      <c r="P20" s="566"/>
    </row>
    <row r="21" spans="1:16">
      <c r="A21" s="493" t="str">
        <f>IF(OR(C21&gt;0,L21&gt;0,M21&gt;0,O21&lt;0),基础信息!$B$1,"")</f>
        <v/>
      </c>
      <c r="B21" s="575"/>
      <c r="C21" s="579"/>
      <c r="D21" s="579"/>
      <c r="E21" s="580"/>
      <c r="F21" s="580"/>
      <c r="G21" s="580"/>
      <c r="H21" s="580"/>
      <c r="I21" s="580"/>
      <c r="J21" s="580"/>
      <c r="K21" s="580"/>
      <c r="L21" s="573">
        <f t="shared" si="0"/>
        <v>0</v>
      </c>
      <c r="M21" s="579"/>
      <c r="N21" s="579"/>
      <c r="O21" s="568">
        <f t="shared" si="1"/>
        <v>0</v>
      </c>
      <c r="P21" s="566"/>
    </row>
    <row r="22" spans="1:16">
      <c r="A22" s="493" t="str">
        <f>IF(OR(C22&gt;0,L22&gt;0,M22&gt;0,O22&lt;0),基础信息!$B$1,"")</f>
        <v/>
      </c>
      <c r="B22" s="575"/>
      <c r="C22" s="579"/>
      <c r="D22" s="579"/>
      <c r="E22" s="580"/>
      <c r="F22" s="580"/>
      <c r="G22" s="580"/>
      <c r="H22" s="580"/>
      <c r="I22" s="580"/>
      <c r="J22" s="580"/>
      <c r="K22" s="580"/>
      <c r="L22" s="573">
        <f t="shared" si="0"/>
        <v>0</v>
      </c>
      <c r="M22" s="579"/>
      <c r="N22" s="579"/>
      <c r="O22" s="568">
        <f t="shared" si="1"/>
        <v>0</v>
      </c>
      <c r="P22" s="566"/>
    </row>
    <row r="23" spans="1:16">
      <c r="A23" s="493" t="str">
        <f>IF(OR(C23&gt;0,L23&gt;0,M23&gt;0,O23&lt;0),基础信息!$B$1,"")</f>
        <v/>
      </c>
      <c r="B23" s="575"/>
      <c r="C23" s="579"/>
      <c r="D23" s="579"/>
      <c r="E23" s="580"/>
      <c r="F23" s="580"/>
      <c r="G23" s="580"/>
      <c r="H23" s="580"/>
      <c r="I23" s="580"/>
      <c r="J23" s="580"/>
      <c r="K23" s="580"/>
      <c r="L23" s="573">
        <f t="shared" si="0"/>
        <v>0</v>
      </c>
      <c r="M23" s="579"/>
      <c r="N23" s="579"/>
      <c r="O23" s="568">
        <f t="shared" si="1"/>
        <v>0</v>
      </c>
      <c r="P23" s="566"/>
    </row>
    <row r="24" spans="1:16">
      <c r="A24" s="493" t="str">
        <f>IF(OR(C24&gt;0,L24&gt;0,M24&gt;0,O24&lt;0),基础信息!$B$1,"")</f>
        <v/>
      </c>
      <c r="B24" s="575"/>
      <c r="C24" s="579"/>
      <c r="D24" s="579"/>
      <c r="E24" s="580"/>
      <c r="F24" s="580"/>
      <c r="G24" s="580"/>
      <c r="H24" s="580"/>
      <c r="I24" s="580"/>
      <c r="J24" s="580"/>
      <c r="K24" s="580"/>
      <c r="L24" s="573">
        <f t="shared" si="0"/>
        <v>0</v>
      </c>
      <c r="M24" s="579"/>
      <c r="N24" s="579"/>
      <c r="O24" s="568">
        <f t="shared" si="1"/>
        <v>0</v>
      </c>
      <c r="P24" s="566"/>
    </row>
    <row r="25" spans="1:16">
      <c r="A25" s="493" t="str">
        <f>IF(OR(C25&gt;0,L25&gt;0,M25&gt;0,O25&lt;0),基础信息!$B$1,"")</f>
        <v/>
      </c>
      <c r="B25" s="575"/>
      <c r="C25" s="581"/>
      <c r="D25" s="581"/>
      <c r="E25" s="581"/>
      <c r="F25" s="581"/>
      <c r="G25" s="581"/>
      <c r="H25" s="581"/>
      <c r="I25" s="581"/>
      <c r="J25" s="581"/>
      <c r="K25" s="581"/>
      <c r="L25" s="573">
        <f t="shared" si="0"/>
        <v>0</v>
      </c>
      <c r="M25" s="581"/>
      <c r="N25" s="581"/>
      <c r="O25" s="568">
        <f t="shared" si="1"/>
        <v>0</v>
      </c>
      <c r="P25" s="569"/>
    </row>
    <row r="26" spans="1:16">
      <c r="B26" s="575"/>
      <c r="C26" s="508"/>
      <c r="D26" s="508"/>
      <c r="E26" s="508"/>
      <c r="F26" s="508"/>
      <c r="G26" s="508"/>
      <c r="H26" s="508"/>
      <c r="I26" s="508"/>
      <c r="J26" s="508"/>
      <c r="K26" s="508"/>
    </row>
    <row r="27" spans="1:16">
      <c r="B27" s="568"/>
    </row>
    <row r="28" spans="1:16">
      <c r="B28" s="568"/>
    </row>
    <row r="29" spans="1:16">
      <c r="B29" s="568"/>
    </row>
    <row r="30" spans="1:16">
      <c r="B30" s="568"/>
    </row>
    <row r="31" spans="1:16">
      <c r="B31" s="568"/>
    </row>
    <row r="32" spans="1:16">
      <c r="B32" s="568"/>
    </row>
    <row r="33" spans="2:2">
      <c r="B33" s="568"/>
    </row>
    <row r="34" spans="2:2">
      <c r="B34" s="568"/>
    </row>
    <row r="35" spans="2:2">
      <c r="B35" s="568"/>
    </row>
    <row r="36" spans="2:2">
      <c r="B36" s="568"/>
    </row>
    <row r="37" spans="2:2">
      <c r="B37" s="56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01FF0E-CE48-4EC1-B485-2BB7CCE270FD}">
          <x14:formula1>
            <xm:f>分类表!$100:$100</xm:f>
          </x14:formula1>
          <xm:sqref>B2:B37</xm:sqref>
        </x14:dataValidation>
      </x14:dataValidations>
    </ext>
  </extLst>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codeName="Sheet262">
    <tabColor rgb="FFFFC000"/>
  </sheetPr>
  <dimension ref="A1:E17"/>
  <sheetViews>
    <sheetView workbookViewId="0">
      <pane xSplit="1" ySplit="1" topLeftCell="B2" activePane="bottomRight" state="frozen"/>
      <selection activeCell="D22" sqref="D22"/>
      <selection pane="topRight" activeCell="D22" sqref="D22"/>
      <selection pane="bottomLeft" activeCell="D22" sqref="D22"/>
      <selection pane="bottomRight" activeCell="I20" sqref="I20"/>
    </sheetView>
  </sheetViews>
  <sheetFormatPr defaultRowHeight="13.8"/>
  <cols>
    <col min="1" max="1" width="40.21875" style="18" customWidth="1"/>
    <col min="2" max="16384" width="8.88671875" style="18"/>
  </cols>
  <sheetData>
    <row r="1" spans="1:5" ht="14.4">
      <c r="A1" s="35" t="s">
        <v>28</v>
      </c>
      <c r="B1" s="35" t="s">
        <v>200</v>
      </c>
      <c r="C1" s="35" t="s">
        <v>525</v>
      </c>
      <c r="D1" s="35" t="s">
        <v>524</v>
      </c>
      <c r="E1" s="35" t="s">
        <v>199</v>
      </c>
    </row>
    <row r="2" spans="1:5" ht="14.4">
      <c r="A2" s="34" t="s">
        <v>103</v>
      </c>
      <c r="B2" s="289">
        <f>ROUND(SUMIF(应交税费明细表!$B:$B,应交税费!$A2,应交税费明细表!C:C),2)</f>
        <v>0</v>
      </c>
      <c r="C2" s="289">
        <f>ROUND(SUMIF(应交税费明细表!$B:$B,应交税费!$A2,应交税费明细表!D:D),2)</f>
        <v>0</v>
      </c>
      <c r="D2" s="289">
        <f>ROUND(SUMIF(应交税费明细表!$B:$B,应交税费!$A2,应交税费明细表!E:E),2)</f>
        <v>0</v>
      </c>
      <c r="E2" s="156">
        <f t="shared" ref="E2:E16" si="0">ROUND(B2+C2-D2,2)</f>
        <v>0</v>
      </c>
    </row>
    <row r="3" spans="1:5" ht="14.4">
      <c r="A3" s="34" t="s">
        <v>106</v>
      </c>
      <c r="B3" s="289">
        <f>ROUND(SUMIF(应交税费明细表!$B:$B,应交税费!$A3,应交税费明细表!C:C),2)</f>
        <v>0</v>
      </c>
      <c r="C3" s="289">
        <f>ROUND(SUMIF(应交税费明细表!$B:$B,应交税费!$A3,应交税费明细表!D:D),2)</f>
        <v>0</v>
      </c>
      <c r="D3" s="289">
        <f>ROUND(SUMIF(应交税费明细表!$B:$B,应交税费!$A3,应交税费明细表!E:E),2)</f>
        <v>0</v>
      </c>
      <c r="E3" s="584">
        <f t="shared" si="0"/>
        <v>0</v>
      </c>
    </row>
    <row r="4" spans="1:5" ht="14.4">
      <c r="A4" s="34" t="s">
        <v>105</v>
      </c>
      <c r="B4" s="289">
        <f>ROUND(SUMIF(应交税费明细表!$B:$B,应交税费!$A4,应交税费明细表!C:C),2)</f>
        <v>0</v>
      </c>
      <c r="C4" s="289">
        <f>ROUND(SUMIF(应交税费明细表!$B:$B,应交税费!$A4,应交税费明细表!D:D),2)</f>
        <v>0</v>
      </c>
      <c r="D4" s="289">
        <f>ROUND(SUMIF(应交税费明细表!$B:$B,应交税费!$A4,应交税费明细表!E:E),2)</f>
        <v>0</v>
      </c>
      <c r="E4" s="584">
        <f t="shared" si="0"/>
        <v>0</v>
      </c>
    </row>
    <row r="5" spans="1:5" ht="14.4">
      <c r="A5" s="34" t="s">
        <v>521</v>
      </c>
      <c r="B5" s="289">
        <f>ROUND(SUMIF(应交税费明细表!$B:$B,应交税费!$A5,应交税费明细表!C:C),2)</f>
        <v>0</v>
      </c>
      <c r="C5" s="289">
        <f>ROUND(SUMIF(应交税费明细表!$B:$B,应交税费!$A5,应交税费明细表!D:D),2)</f>
        <v>0</v>
      </c>
      <c r="D5" s="289">
        <f>ROUND(SUMIF(应交税费明细表!$B:$B,应交税费!$A5,应交税费明细表!E:E),2)</f>
        <v>0</v>
      </c>
      <c r="E5" s="584">
        <f t="shared" si="0"/>
        <v>0</v>
      </c>
    </row>
    <row r="6" spans="1:5" ht="14.4">
      <c r="A6" s="34" t="s">
        <v>108</v>
      </c>
      <c r="B6" s="289">
        <f>ROUND(SUMIF(应交税费明细表!$B:$B,应交税费!$A6,应交税费明细表!C:C),2)</f>
        <v>0</v>
      </c>
      <c r="C6" s="289">
        <f>ROUND(SUMIF(应交税费明细表!$B:$B,应交税费!$A6,应交税费明细表!D:D),2)</f>
        <v>0</v>
      </c>
      <c r="D6" s="289">
        <f>ROUND(SUMIF(应交税费明细表!$B:$B,应交税费!$A6,应交税费明细表!E:E),2)</f>
        <v>0</v>
      </c>
      <c r="E6" s="584">
        <f t="shared" si="0"/>
        <v>0</v>
      </c>
    </row>
    <row r="7" spans="1:5" ht="14.4">
      <c r="A7" s="34" t="s">
        <v>522</v>
      </c>
      <c r="B7" s="289">
        <f>ROUND(SUMIF(应交税费明细表!$B:$B,应交税费!$A7,应交税费明细表!C:C),2)</f>
        <v>0</v>
      </c>
      <c r="C7" s="289">
        <f>ROUND(SUMIF(应交税费明细表!$B:$B,应交税费!$A7,应交税费明细表!D:D),2)</f>
        <v>0</v>
      </c>
      <c r="D7" s="289">
        <f>ROUND(SUMIF(应交税费明细表!$B:$B,应交税费!$A7,应交税费明细表!E:E),2)</f>
        <v>0</v>
      </c>
      <c r="E7" s="584">
        <f t="shared" si="0"/>
        <v>0</v>
      </c>
    </row>
    <row r="8" spans="1:5" ht="14.4">
      <c r="A8" s="34" t="s">
        <v>523</v>
      </c>
      <c r="B8" s="289">
        <f>ROUND(SUMIF(应交税费明细表!$B:$B,应交税费!$A8,应交税费明细表!C:C),2)</f>
        <v>0</v>
      </c>
      <c r="C8" s="289">
        <f>ROUND(SUMIF(应交税费明细表!$B:$B,应交税费!$A8,应交税费明细表!D:D),2)</f>
        <v>0</v>
      </c>
      <c r="D8" s="289">
        <f>ROUND(SUMIF(应交税费明细表!$B:$B,应交税费!$A8,应交税费明细表!E:E),2)</f>
        <v>0</v>
      </c>
      <c r="E8" s="584">
        <f t="shared" si="0"/>
        <v>0</v>
      </c>
    </row>
    <row r="9" spans="1:5" ht="14.4">
      <c r="A9" s="34" t="s">
        <v>1891</v>
      </c>
      <c r="B9" s="289">
        <f>ROUND(SUMIF(应交税费明细表!$B:$B,应交税费!$A9,应交税费明细表!C:C),2)</f>
        <v>0</v>
      </c>
      <c r="C9" s="289">
        <f>ROUND(SUMIF(应交税费明细表!$B:$B,应交税费!$A9,应交税费明细表!D:D),2)</f>
        <v>0</v>
      </c>
      <c r="D9" s="289">
        <f>ROUND(SUMIF(应交税费明细表!$B:$B,应交税费!$A9,应交税费明细表!E:E),2)</f>
        <v>0</v>
      </c>
      <c r="E9" s="584">
        <f t="shared" si="0"/>
        <v>0</v>
      </c>
    </row>
    <row r="10" spans="1:5" ht="14.4">
      <c r="A10" s="34" t="s">
        <v>648</v>
      </c>
      <c r="B10" s="289">
        <f>ROUND(SUMIF(应交税费明细表!$B:$B,应交税费!$A10,应交税费明细表!C:C),2)</f>
        <v>0</v>
      </c>
      <c r="C10" s="289">
        <f>ROUND(SUMIF(应交税费明细表!$B:$B,应交税费!$A10,应交税费明细表!D:D),2)</f>
        <v>0</v>
      </c>
      <c r="D10" s="289">
        <f>ROUND(SUMIF(应交税费明细表!$B:$B,应交税费!$A10,应交税费明细表!E:E),2)</f>
        <v>0</v>
      </c>
      <c r="E10" s="584">
        <f t="shared" si="0"/>
        <v>0</v>
      </c>
    </row>
    <row r="11" spans="1:5" ht="14.4">
      <c r="A11" s="34" t="s">
        <v>647</v>
      </c>
      <c r="B11" s="289">
        <f>ROUND(SUMIF(应交税费明细表!$B:$B,应交税费!$A11,应交税费明细表!C:C),2)</f>
        <v>0</v>
      </c>
      <c r="C11" s="289">
        <f>ROUND(SUMIF(应交税费明细表!$B:$B,应交税费!$A11,应交税费明细表!D:D),2)</f>
        <v>0</v>
      </c>
      <c r="D11" s="289">
        <f>ROUND(SUMIF(应交税费明细表!$B:$B,应交税费!$A11,应交税费明细表!E:E),2)</f>
        <v>0</v>
      </c>
      <c r="E11" s="584">
        <f t="shared" si="0"/>
        <v>0</v>
      </c>
    </row>
    <row r="12" spans="1:5" ht="14.4">
      <c r="A12" s="34" t="s">
        <v>2256</v>
      </c>
      <c r="B12" s="289">
        <f>ROUND(SUMIF(应交税费明细表!$B:$B,应交税费!$A12,应交税费明细表!C:C),2)</f>
        <v>0</v>
      </c>
      <c r="C12" s="289">
        <f>ROUND(SUMIF(应交税费明细表!$B:$B,应交税费!$A12,应交税费明细表!D:D),2)</f>
        <v>0</v>
      </c>
      <c r="D12" s="289">
        <f>ROUND(SUMIF(应交税费明细表!$B:$B,应交税费!$A12,应交税费明细表!E:E),2)</f>
        <v>0</v>
      </c>
      <c r="E12" s="584">
        <f t="shared" si="0"/>
        <v>0</v>
      </c>
    </row>
    <row r="13" spans="1:5" ht="14.4">
      <c r="A13" s="34" t="s">
        <v>1890</v>
      </c>
      <c r="B13" s="289">
        <f>ROUND(SUMIF(应交税费明细表!$B:$B,应交税费!$A13,应交税费明细表!C:C),2)</f>
        <v>0</v>
      </c>
      <c r="C13" s="289">
        <f>ROUND(SUMIF(应交税费明细表!$B:$B,应交税费!$A13,应交税费明细表!D:D),2)</f>
        <v>0</v>
      </c>
      <c r="D13" s="289">
        <f>ROUND(SUMIF(应交税费明细表!$B:$B,应交税费!$A13,应交税费明细表!E:E),2)</f>
        <v>0</v>
      </c>
      <c r="E13" s="584">
        <f t="shared" si="0"/>
        <v>0</v>
      </c>
    </row>
    <row r="14" spans="1:5" ht="14.4">
      <c r="A14" s="34" t="s">
        <v>1892</v>
      </c>
      <c r="B14" s="289">
        <f>ROUND(SUMIF(应交税费明细表!$B:$B,应交税费!$A14,应交税费明细表!C:C),2)</f>
        <v>0</v>
      </c>
      <c r="C14" s="289">
        <f>ROUND(SUMIF(应交税费明细表!$B:$B,应交税费!$A14,应交税费明细表!D:D),2)</f>
        <v>0</v>
      </c>
      <c r="D14" s="289">
        <f>ROUND(SUMIF(应交税费明细表!$B:$B,应交税费!$A14,应交税费明细表!E:E),2)</f>
        <v>0</v>
      </c>
      <c r="E14" s="584">
        <f t="shared" si="0"/>
        <v>0</v>
      </c>
    </row>
    <row r="15" spans="1:5" ht="14.4">
      <c r="A15" s="34" t="s">
        <v>1893</v>
      </c>
      <c r="B15" s="289">
        <f>ROUND(SUMIF(应交税费明细表!$B:$B,应交税费!$A15,应交税费明细表!C:C),2)</f>
        <v>0</v>
      </c>
      <c r="C15" s="289">
        <f>ROUND(SUMIF(应交税费明细表!$B:$B,应交税费!$A15,应交税费明细表!D:D),2)</f>
        <v>0</v>
      </c>
      <c r="D15" s="289">
        <f>ROUND(SUMIF(应交税费明细表!$B:$B,应交税费!$A15,应交税费明细表!E:E),2)</f>
        <v>0</v>
      </c>
      <c r="E15" s="584">
        <f t="shared" si="0"/>
        <v>0</v>
      </c>
    </row>
    <row r="16" spans="1:5" ht="14.4">
      <c r="A16" s="34" t="s">
        <v>202</v>
      </c>
      <c r="B16" s="289">
        <f>ROUND(SUMIF(应交税费明细表!$B:$B,应交税费!$A16,应交税费明细表!C:C),2)</f>
        <v>0</v>
      </c>
      <c r="C16" s="289">
        <f>ROUND(SUMIF(应交税费明细表!$B:$B,应交税费!$A16,应交税费明细表!D:D),2)</f>
        <v>0</v>
      </c>
      <c r="D16" s="289">
        <f>ROUND(SUMIF(应交税费明细表!$B:$B,应交税费!$A16,应交税费明细表!E:E),2)</f>
        <v>0</v>
      </c>
      <c r="E16" s="584">
        <f t="shared" si="0"/>
        <v>0</v>
      </c>
    </row>
    <row r="17" spans="1:5" ht="14.4">
      <c r="A17" s="35" t="s">
        <v>204</v>
      </c>
      <c r="B17" s="156">
        <f>ROUND(SUM(B2:B16),2)</f>
        <v>0</v>
      </c>
      <c r="C17" s="156">
        <f>ROUND(SUM(C2:C16),2)</f>
        <v>0</v>
      </c>
      <c r="D17" s="156">
        <f>ROUND(SUM(D2:D16),2)</f>
        <v>0</v>
      </c>
      <c r="E17" s="156">
        <f>ROUND(SUM(E2:E16),2)</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7FA-C637-45C0-B551-DAC059268764}">
  <sheetPr codeName="Sheet263"/>
  <dimension ref="A1:F25"/>
  <sheetViews>
    <sheetView workbookViewId="0">
      <selection activeCell="E9" sqref="E9"/>
    </sheetView>
  </sheetViews>
  <sheetFormatPr defaultRowHeight="13.8"/>
  <cols>
    <col min="6" max="6" width="8.88671875" style="229"/>
  </cols>
  <sheetData>
    <row r="1" spans="1:6">
      <c r="A1" t="s">
        <v>2438</v>
      </c>
      <c r="B1" t="s">
        <v>28</v>
      </c>
      <c r="C1" t="s">
        <v>265</v>
      </c>
      <c r="D1" t="s">
        <v>300</v>
      </c>
      <c r="E1" t="s">
        <v>3612</v>
      </c>
      <c r="F1" s="229" t="s">
        <v>203</v>
      </c>
    </row>
    <row r="2" spans="1:6">
      <c r="A2" t="str">
        <f>IF(OR(ABS(C2)&gt;0,ABS(D2)&gt;0,ABS(E2)&gt;0,ABS(F2)&gt;0),基础信息!$B$1,"")</f>
        <v/>
      </c>
      <c r="B2" s="276"/>
      <c r="F2" s="229">
        <f>C2+D2-E2</f>
        <v>0</v>
      </c>
    </row>
    <row r="3" spans="1:6">
      <c r="A3" t="str">
        <f>IF(OR(ABS(C3)&gt;0,ABS(D3)&gt;0,ABS(E3)&gt;0,ABS(F3)&gt;0),基础信息!$B$1,"")</f>
        <v/>
      </c>
      <c r="B3" s="276"/>
      <c r="F3" s="229">
        <f t="shared" ref="F3:F17" si="0">C3+D3-E3</f>
        <v>0</v>
      </c>
    </row>
    <row r="4" spans="1:6">
      <c r="A4" t="str">
        <f>IF(OR(ABS(C4)&gt;0,ABS(D4)&gt;0,ABS(E4)&gt;0,ABS(F4)&gt;0),基础信息!$B$1,"")</f>
        <v/>
      </c>
      <c r="B4" s="276"/>
      <c r="F4" s="229">
        <f t="shared" si="0"/>
        <v>0</v>
      </c>
    </row>
    <row r="5" spans="1:6">
      <c r="A5" t="str">
        <f>IF(OR(ABS(C5)&gt;0,ABS(D5)&gt;0,ABS(E5)&gt;0,ABS(F5)&gt;0),基础信息!$B$1,"")</f>
        <v/>
      </c>
      <c r="B5" s="276"/>
      <c r="F5" s="229">
        <f t="shared" si="0"/>
        <v>0</v>
      </c>
    </row>
    <row r="6" spans="1:6">
      <c r="A6" t="str">
        <f>IF(OR(ABS(C6)&gt;0,ABS(D6)&gt;0,ABS(E6)&gt;0,ABS(F6)&gt;0),基础信息!$B$1,"")</f>
        <v/>
      </c>
      <c r="B6" s="276"/>
      <c r="F6" s="229">
        <f t="shared" si="0"/>
        <v>0</v>
      </c>
    </row>
    <row r="7" spans="1:6">
      <c r="A7" t="str">
        <f>IF(OR(ABS(C7)&gt;0,ABS(D7)&gt;0,ABS(E7)&gt;0,ABS(F7)&gt;0),基础信息!$B$1,"")</f>
        <v/>
      </c>
      <c r="B7" s="276"/>
      <c r="F7" s="229">
        <f t="shared" si="0"/>
        <v>0</v>
      </c>
    </row>
    <row r="8" spans="1:6">
      <c r="A8" t="str">
        <f>IF(OR(ABS(C8)&gt;0,ABS(D8)&gt;0,ABS(E8)&gt;0,ABS(F8)&gt;0),基础信息!$B$1,"")</f>
        <v/>
      </c>
      <c r="B8" s="276"/>
      <c r="F8" s="229">
        <f t="shared" si="0"/>
        <v>0</v>
      </c>
    </row>
    <row r="9" spans="1:6">
      <c r="A9" t="str">
        <f>IF(OR(ABS(C9)&gt;0,ABS(D9)&gt;0,ABS(E9)&gt;0,ABS(F9)&gt;0),基础信息!$B$1,"")</f>
        <v/>
      </c>
      <c r="B9" s="276"/>
      <c r="F9" s="229">
        <f t="shared" si="0"/>
        <v>0</v>
      </c>
    </row>
    <row r="10" spans="1:6">
      <c r="A10" t="str">
        <f>IF(OR(ABS(C10)&gt;0,ABS(D10)&gt;0,ABS(E10)&gt;0,ABS(F10)&gt;0),基础信息!$B$1,"")</f>
        <v/>
      </c>
      <c r="B10" s="276"/>
      <c r="F10" s="229">
        <f t="shared" si="0"/>
        <v>0</v>
      </c>
    </row>
    <row r="11" spans="1:6">
      <c r="A11" t="str">
        <f>IF(OR(ABS(C11)&gt;0,ABS(D11)&gt;0,ABS(E11)&gt;0,ABS(F11)&gt;0),基础信息!$B$1,"")</f>
        <v/>
      </c>
      <c r="B11" s="276"/>
      <c r="F11" s="229">
        <f t="shared" si="0"/>
        <v>0</v>
      </c>
    </row>
    <row r="12" spans="1:6">
      <c r="A12" t="str">
        <f>IF(OR(ABS(C12)&gt;0,ABS(D12)&gt;0,ABS(E12)&gt;0,ABS(F12)&gt;0),基础信息!$B$1,"")</f>
        <v/>
      </c>
      <c r="B12" s="276"/>
      <c r="F12" s="229">
        <f t="shared" si="0"/>
        <v>0</v>
      </c>
    </row>
    <row r="13" spans="1:6">
      <c r="A13" t="str">
        <f>IF(OR(ABS(C13)&gt;0,ABS(D13)&gt;0,ABS(E13)&gt;0,ABS(F13)&gt;0),基础信息!$B$1,"")</f>
        <v/>
      </c>
      <c r="B13" s="276"/>
      <c r="F13" s="229">
        <f t="shared" si="0"/>
        <v>0</v>
      </c>
    </row>
    <row r="14" spans="1:6">
      <c r="A14" t="str">
        <f>IF(OR(ABS(C14)&gt;0,ABS(D14)&gt;0,ABS(E14)&gt;0,ABS(F14)&gt;0),基础信息!$B$1,"")</f>
        <v/>
      </c>
      <c r="B14" s="276"/>
      <c r="F14" s="229">
        <f t="shared" si="0"/>
        <v>0</v>
      </c>
    </row>
    <row r="15" spans="1:6">
      <c r="A15" t="str">
        <f>IF(OR(ABS(C15)&gt;0,ABS(D15)&gt;0,ABS(E15)&gt;0,ABS(F15)&gt;0),基础信息!$B$1,"")</f>
        <v/>
      </c>
      <c r="B15" s="276"/>
      <c r="F15" s="229">
        <f t="shared" si="0"/>
        <v>0</v>
      </c>
    </row>
    <row r="16" spans="1:6">
      <c r="A16" t="str">
        <f>IF(OR(ABS(C16)&gt;0,ABS(D16)&gt;0,ABS(E16)&gt;0,ABS(F16)&gt;0),基础信息!$B$1,"")</f>
        <v/>
      </c>
      <c r="B16" s="276"/>
      <c r="F16" s="229">
        <f t="shared" si="0"/>
        <v>0</v>
      </c>
    </row>
    <row r="17" spans="1:6">
      <c r="A17" t="str">
        <f>IF(OR(ABS(C17)&gt;0,ABS(D17)&gt;0,ABS(E17)&gt;0,ABS(F17)&gt;0),基础信息!$B$1,"")</f>
        <v/>
      </c>
      <c r="B17" s="276"/>
      <c r="F17" s="229">
        <f t="shared" si="0"/>
        <v>0</v>
      </c>
    </row>
    <row r="18" spans="1:6">
      <c r="A18" t="str">
        <f>IF(OR(ABS(C18)&gt;0,ABS(D18)&gt;0,ABS(E18)&gt;0,ABS(F18)&gt;0),基础信息!$B$1,"")</f>
        <v/>
      </c>
      <c r="B18" s="276"/>
    </row>
    <row r="19" spans="1:6">
      <c r="A19" t="str">
        <f>IF(OR(ABS(C19)&gt;0,ABS(D19)&gt;0,ABS(E19)&gt;0,ABS(F19)&gt;0),基础信息!$B$1,"")</f>
        <v/>
      </c>
      <c r="B19" s="276"/>
    </row>
    <row r="20" spans="1:6">
      <c r="A20" t="str">
        <f>IF(OR(ABS(C20)&gt;0,ABS(D20)&gt;0,ABS(E20)&gt;0,ABS(F20)&gt;0),基础信息!$B$1,"")</f>
        <v/>
      </c>
      <c r="B20" s="276"/>
    </row>
    <row r="21" spans="1:6">
      <c r="A21" t="str">
        <f>IF(OR(ABS(C21)&gt;0,ABS(D21)&gt;0,ABS(E21)&gt;0,ABS(F21)&gt;0),基础信息!$B$1,"")</f>
        <v/>
      </c>
      <c r="B21" s="276"/>
    </row>
    <row r="22" spans="1:6">
      <c r="A22" t="str">
        <f>IF(OR(ABS(C22)&gt;0,ABS(D22)&gt;0,ABS(E22)&gt;0,ABS(F22)&gt;0),基础信息!$B$1,"")</f>
        <v/>
      </c>
      <c r="B22" s="276"/>
    </row>
    <row r="23" spans="1:6">
      <c r="A23" t="str">
        <f>IF(OR(ABS(C23)&gt;0,ABS(D23)&gt;0,ABS(E23)&gt;0,ABS(F23)&gt;0),基础信息!$B$1,"")</f>
        <v/>
      </c>
    </row>
    <row r="24" spans="1:6">
      <c r="A24" t="str">
        <f>IF(OR(ABS(C24)&gt;0,ABS(D24)&gt;0,ABS(E24)&gt;0,ABS(F24)&gt;0),基础信息!$B$1,"")</f>
        <v/>
      </c>
    </row>
    <row r="25" spans="1:6">
      <c r="A25" t="str">
        <f>IF(OR(ABS(C25)&gt;0,ABS(D25)&gt;0,ABS(E25)&gt;0,ABS(F25)&gt;0),基础信息!$B$1,"")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69A1E25-AEB4-41B3-A29B-08661604BBAE}">
          <x14:formula1>
            <xm:f>分类表!$38:$38</xm:f>
          </x14:formula1>
          <xm:sqref>B2:B22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sheetPr codeName="Sheet24">
    <tabColor rgb="FF00B0F0"/>
  </sheetPr>
  <dimension ref="A1:D15"/>
  <sheetViews>
    <sheetView workbookViewId="0">
      <selection activeCell="M20" sqref="M20"/>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42" t="s">
        <v>2498</v>
      </c>
      <c r="B1" s="343" t="s">
        <v>2499</v>
      </c>
      <c r="C1" s="343" t="s">
        <v>2500</v>
      </c>
      <c r="D1" s="344" t="s">
        <v>2501</v>
      </c>
    </row>
    <row r="2" spans="1:4">
      <c r="A2" s="18" t="str">
        <f>税金及附加!A2</f>
        <v>城市维护建设税</v>
      </c>
      <c r="B2" s="1">
        <f>_xlfn.IFNA(VLOOKUP(A2,应交税费!A:C,3,0),0)</f>
        <v>0</v>
      </c>
      <c r="C2" s="1">
        <f>_xlfn.IFNA(VLOOKUP(A2,税金及附加!A:B,2,0),0)</f>
        <v>0</v>
      </c>
      <c r="D2" s="133">
        <f t="shared" ref="D2:D12" si="0">B2-C2</f>
        <v>0</v>
      </c>
    </row>
    <row r="3" spans="1:4">
      <c r="A3" s="18" t="str">
        <f>税金及附加!A3</f>
        <v>房产税</v>
      </c>
      <c r="B3" s="1">
        <f>_xlfn.IFNA(VLOOKUP(A3,应交税费!A:C,3,0),0)</f>
        <v>0</v>
      </c>
      <c r="C3" s="1">
        <f>_xlfn.IFNA(VLOOKUP(A3,税金及附加!A:B,2,0),0)</f>
        <v>0</v>
      </c>
      <c r="D3" s="133">
        <f t="shared" si="0"/>
        <v>0</v>
      </c>
    </row>
    <row r="4" spans="1:4">
      <c r="A4" s="18" t="str">
        <f>税金及附加!A4</f>
        <v>土地增值税</v>
      </c>
      <c r="B4" s="1">
        <f>_xlfn.IFNA(VLOOKUP(A4,应交税费!A:C,3,0),0)</f>
        <v>0</v>
      </c>
      <c r="C4" s="1">
        <f>_xlfn.IFNA(VLOOKUP(A4,税金及附加!A:B,2,0),0)</f>
        <v>0</v>
      </c>
      <c r="D4" s="133">
        <f t="shared" si="0"/>
        <v>0</v>
      </c>
    </row>
    <row r="5" spans="1:4">
      <c r="A5" s="18" t="str">
        <f>税金及附加!A5</f>
        <v>土地使用税</v>
      </c>
      <c r="B5" s="1">
        <f>_xlfn.IFNA(VLOOKUP(A5,应交税费!A:C,3,0),0)</f>
        <v>0</v>
      </c>
      <c r="C5" s="1">
        <f>_xlfn.IFNA(VLOOKUP(A5,税金及附加!A:B,2,0),0)</f>
        <v>0</v>
      </c>
      <c r="D5" s="133">
        <f t="shared" si="0"/>
        <v>0</v>
      </c>
    </row>
    <row r="6" spans="1:4">
      <c r="A6" s="18" t="str">
        <f>税金及附加!A6</f>
        <v>教育费附加</v>
      </c>
      <c r="B6" s="1">
        <f>_xlfn.IFNA(VLOOKUP(A6,应交税费!A:C,3,0),0)</f>
        <v>0</v>
      </c>
      <c r="C6" s="1">
        <f>_xlfn.IFNA(VLOOKUP(A6,税金及附加!A:B,2,0),0)</f>
        <v>0</v>
      </c>
      <c r="D6" s="133">
        <f t="shared" si="0"/>
        <v>0</v>
      </c>
    </row>
    <row r="7" spans="1:4">
      <c r="A7" s="18" t="str">
        <f>税金及附加!A7</f>
        <v>地方教育费附加</v>
      </c>
      <c r="B7" s="1">
        <f>_xlfn.IFNA(VLOOKUP(A7,应交税费!A:C,3,0),0)</f>
        <v>0</v>
      </c>
      <c r="C7" s="1">
        <f>_xlfn.IFNA(VLOOKUP(A7,税金及附加!A:B,2,0),0)</f>
        <v>0</v>
      </c>
      <c r="D7" s="133">
        <f t="shared" si="0"/>
        <v>0</v>
      </c>
    </row>
    <row r="8" spans="1:4">
      <c r="A8" s="18" t="str">
        <f>税金及附加!A8</f>
        <v>文化事业维护费</v>
      </c>
      <c r="B8" s="1">
        <f>_xlfn.IFNA(VLOOKUP(A8,应交税费!A:C,3,0),0)</f>
        <v>0</v>
      </c>
      <c r="C8" s="1">
        <f>_xlfn.IFNA(VLOOKUP(A8,税金及附加!A:B,2,0),0)</f>
        <v>0</v>
      </c>
      <c r="D8" s="133">
        <f t="shared" si="0"/>
        <v>0</v>
      </c>
    </row>
    <row r="9" spans="1:4">
      <c r="A9" s="18" t="str">
        <f>税金及附加!A9</f>
        <v>车船使用税</v>
      </c>
      <c r="B9" s="1">
        <f>_xlfn.IFNA(VLOOKUP(A9,应交税费!A:C,3,0),0)</f>
        <v>0</v>
      </c>
      <c r="C9" s="1">
        <f>_xlfn.IFNA(VLOOKUP(A9,税金及附加!A:B,2,0),0)</f>
        <v>0</v>
      </c>
      <c r="D9" s="133">
        <f t="shared" si="0"/>
        <v>0</v>
      </c>
    </row>
    <row r="10" spans="1:4">
      <c r="A10" s="18" t="str">
        <f>税金及附加!A10</f>
        <v>水利建设基金</v>
      </c>
      <c r="B10" s="1">
        <f>_xlfn.IFNA(VLOOKUP(A10,应交税费!A:C,3,0),0)</f>
        <v>0</v>
      </c>
      <c r="C10" s="1">
        <f>_xlfn.IFNA(VLOOKUP(A10,税金及附加!A:B,2,0),0)</f>
        <v>0</v>
      </c>
      <c r="D10" s="133">
        <f t="shared" si="0"/>
        <v>0</v>
      </c>
    </row>
    <row r="11" spans="1:4">
      <c r="A11" s="18" t="str">
        <f>税金及附加!A11</f>
        <v>印花税</v>
      </c>
      <c r="B11" s="1">
        <f>_xlfn.IFNA(VLOOKUP(A11,应交税费!A:C,3,0),0)</f>
        <v>0</v>
      </c>
      <c r="C11" s="1">
        <f>_xlfn.IFNA(VLOOKUP(A11,税金及附加!A:B,2,0),0)</f>
        <v>0</v>
      </c>
      <c r="D11" s="133">
        <f t="shared" si="0"/>
        <v>0</v>
      </c>
    </row>
    <row r="12" spans="1:4">
      <c r="A12" s="18" t="str">
        <f>税金及附加!A12</f>
        <v>合计</v>
      </c>
      <c r="B12" s="1">
        <f>_xlfn.IFNA(VLOOKUP(A12,应交税费!A:C,3,0),0)</f>
        <v>0</v>
      </c>
      <c r="C12" s="1">
        <f>税金及附加!B12</f>
        <v>0</v>
      </c>
      <c r="D12" s="133">
        <f t="shared" si="0"/>
        <v>0</v>
      </c>
    </row>
    <row r="13" spans="1:4">
      <c r="A13" s="18">
        <f>税金及附加!A13</f>
        <v>0</v>
      </c>
      <c r="B13" s="1">
        <f>_xlfn.IFNA(VLOOKUP(A13,应交税费!A:C,3,0),0)</f>
        <v>0</v>
      </c>
      <c r="C13" s="1">
        <f>税金及附加!B13</f>
        <v>0</v>
      </c>
      <c r="D13" s="133">
        <f t="shared" ref="D13:D15" si="1">B13-C13</f>
        <v>0</v>
      </c>
    </row>
    <row r="14" spans="1:4">
      <c r="A14" s="18">
        <f>税金及附加!A14</f>
        <v>0</v>
      </c>
      <c r="B14" s="1">
        <f>_xlfn.IFNA(VLOOKUP(A14,应交税费!A:C,3,0),0)</f>
        <v>0</v>
      </c>
      <c r="C14" s="1">
        <f>税金及附加!B14</f>
        <v>0</v>
      </c>
      <c r="D14" s="133">
        <f t="shared" si="1"/>
        <v>0</v>
      </c>
    </row>
    <row r="15" spans="1:4">
      <c r="A15" s="18">
        <f>税金及附加!A15</f>
        <v>0</v>
      </c>
      <c r="B15" s="1">
        <f>_xlfn.IFNA(VLOOKUP(A15,应交税费!A:C,3,0),0)</f>
        <v>0</v>
      </c>
      <c r="C15" s="1">
        <f>税金及附加!B15</f>
        <v>0</v>
      </c>
      <c r="D15" s="133">
        <f t="shared" si="1"/>
        <v>0</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C72F-89C3-4333-A903-B09F9FC117EC}">
  <sheetPr codeName="Sheet264"/>
  <dimension ref="A1:B26"/>
  <sheetViews>
    <sheetView workbookViewId="0">
      <selection activeCell="H29" sqref="H29"/>
    </sheetView>
  </sheetViews>
  <sheetFormatPr defaultRowHeight="13.8"/>
  <cols>
    <col min="1" max="1" width="46.33203125" bestFit="1" customWidth="1"/>
    <col min="2" max="2" width="13.5546875" style="229" customWidth="1"/>
  </cols>
  <sheetData>
    <row r="1" spans="1:2">
      <c r="A1" t="s">
        <v>28</v>
      </c>
      <c r="B1" s="375" t="s">
        <v>183</v>
      </c>
    </row>
    <row r="2" spans="1:2">
      <c r="A2" t="s">
        <v>3626</v>
      </c>
      <c r="B2" s="229">
        <f>SUM(B3:B4,-B5)</f>
        <v>0</v>
      </c>
    </row>
    <row r="3" spans="1:2">
      <c r="A3" t="s">
        <v>3627</v>
      </c>
    </row>
    <row r="4" spans="1:2">
      <c r="A4" t="s">
        <v>3628</v>
      </c>
    </row>
    <row r="5" spans="1:2">
      <c r="A5" t="s">
        <v>3648</v>
      </c>
    </row>
    <row r="6" spans="1:2">
      <c r="A6" t="s">
        <v>3629</v>
      </c>
      <c r="B6" s="229">
        <f>SUM(B7:B11)</f>
        <v>0</v>
      </c>
    </row>
    <row r="7" spans="1:2">
      <c r="A7" t="s">
        <v>3630</v>
      </c>
    </row>
    <row r="8" spans="1:2">
      <c r="A8" t="s">
        <v>3631</v>
      </c>
    </row>
    <row r="9" spans="1:2">
      <c r="A9" t="s">
        <v>3632</v>
      </c>
    </row>
    <row r="10" spans="1:2">
      <c r="A10" t="s">
        <v>3633</v>
      </c>
    </row>
    <row r="11" spans="1:2">
      <c r="A11" t="s">
        <v>3649</v>
      </c>
    </row>
    <row r="12" spans="1:2">
      <c r="A12" t="s">
        <v>3634</v>
      </c>
    </row>
    <row r="13" spans="1:2">
      <c r="A13" t="s">
        <v>3635</v>
      </c>
    </row>
    <row r="14" spans="1:2">
      <c r="A14" t="s">
        <v>3636</v>
      </c>
      <c r="B14" s="229">
        <f>应交税费!D2</f>
        <v>0</v>
      </c>
    </row>
    <row r="15" spans="1:2">
      <c r="A15" t="s">
        <v>3637</v>
      </c>
    </row>
    <row r="16" spans="1:2">
      <c r="A16" t="s">
        <v>3638</v>
      </c>
    </row>
    <row r="17" spans="1:2">
      <c r="A17" t="s">
        <v>3639</v>
      </c>
      <c r="B17" s="229">
        <f>IF(B2-B6+B12-B13-B14-B15+B16&gt;0,B2-B6+B12-B13-B14-B15+B16,0)</f>
        <v>0</v>
      </c>
    </row>
    <row r="18" spans="1:2">
      <c r="A18" t="s">
        <v>3640</v>
      </c>
      <c r="B18" s="229">
        <f>IF(B2-B6+B12-B13-B14-B15+B16&lt;0,-(B2-B6+B12-B13-B14-B15+B16),0)</f>
        <v>0</v>
      </c>
    </row>
    <row r="19" spans="1:2">
      <c r="A19" t="s">
        <v>3641</v>
      </c>
      <c r="B19" s="229">
        <f>IF(B17&gt;0,B17,-B18)-B20</f>
        <v>0</v>
      </c>
    </row>
    <row r="20" spans="1:2">
      <c r="A20" t="s">
        <v>3642</v>
      </c>
    </row>
    <row r="21" spans="1:2">
      <c r="A21" t="s">
        <v>3643</v>
      </c>
    </row>
    <row r="22" spans="1:2">
      <c r="A22" t="s">
        <v>3644</v>
      </c>
    </row>
    <row r="23" spans="1:2">
      <c r="A23" t="s">
        <v>3645</v>
      </c>
    </row>
    <row r="24" spans="1:2">
      <c r="A24" t="s">
        <v>3646</v>
      </c>
    </row>
    <row r="25" spans="1:2">
      <c r="A25" t="s">
        <v>3647</v>
      </c>
      <c r="B25" s="229">
        <f>B19+B21+B22+B23+B24</f>
        <v>0</v>
      </c>
    </row>
    <row r="26" spans="1:2">
      <c r="A26" s="261" t="s">
        <v>2351</v>
      </c>
      <c r="B26" s="263">
        <f>B25-应交税费!C2</f>
        <v>0</v>
      </c>
    </row>
  </sheetData>
  <phoneticPr fontId="1" type="noConversion"/>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sheetPr codeName="Sheet265">
    <tabColor rgb="FFFFC000"/>
  </sheetPr>
  <dimension ref="A1:C5"/>
  <sheetViews>
    <sheetView workbookViewId="0">
      <selection activeCell="H15" sqref="H15"/>
    </sheetView>
  </sheetViews>
  <sheetFormatPr defaultRowHeight="13.8"/>
  <cols>
    <col min="1" max="1" width="16" style="18" customWidth="1"/>
    <col min="2" max="16384" width="8.88671875" style="18"/>
  </cols>
  <sheetData>
    <row r="1" spans="1:3" ht="14.4">
      <c r="A1" s="31" t="s">
        <v>28</v>
      </c>
      <c r="B1" s="20" t="s">
        <v>203</v>
      </c>
      <c r="C1" s="20" t="s">
        <v>265</v>
      </c>
    </row>
    <row r="2" spans="1:3" ht="14.4">
      <c r="A2" s="32" t="s">
        <v>526</v>
      </c>
      <c r="B2" s="564">
        <f>ROUND(应付利息!B7,2)</f>
        <v>0</v>
      </c>
      <c r="C2" s="564">
        <f>ROUND(应付利息!C7,2)</f>
        <v>0</v>
      </c>
    </row>
    <row r="3" spans="1:3" ht="14.4">
      <c r="A3" s="32" t="s">
        <v>527</v>
      </c>
      <c r="B3" s="564">
        <f>ROUND(应付股利!B5,2)</f>
        <v>0</v>
      </c>
      <c r="C3" s="564">
        <f>ROUND(应付股利!C5,2)</f>
        <v>0</v>
      </c>
    </row>
    <row r="4" spans="1:3" ht="14.4">
      <c r="A4" s="32" t="s">
        <v>528</v>
      </c>
      <c r="B4" s="298">
        <f>ROUND(其他应付款项!B6,2)</f>
        <v>0</v>
      </c>
      <c r="C4" s="298">
        <f>ROUND(其他应付款项!C6,2)</f>
        <v>0</v>
      </c>
    </row>
    <row r="5" spans="1:3" ht="14.4">
      <c r="A5" s="31" t="s">
        <v>204</v>
      </c>
      <c r="B5" s="631">
        <f>ROUND(SUM(B2:B4),2)</f>
        <v>0</v>
      </c>
      <c r="C5" s="631">
        <f>ROUND(SUM(C2:C4),2)</f>
        <v>0</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codeName="Sheet266">
    <tabColor rgb="FFFFC000"/>
  </sheetPr>
  <dimension ref="A1:C7"/>
  <sheetViews>
    <sheetView workbookViewId="0">
      <selection activeCell="E14" sqref="E14"/>
    </sheetView>
  </sheetViews>
  <sheetFormatPr defaultRowHeight="13.8"/>
  <cols>
    <col min="1" max="1" width="36.44140625" style="18" bestFit="1" customWidth="1"/>
    <col min="2" max="3" width="8.88671875" style="1"/>
    <col min="4" max="16384" width="8.88671875" style="18"/>
  </cols>
  <sheetData>
    <row r="1" spans="1:3" ht="14.4">
      <c r="A1" s="35" t="s">
        <v>28</v>
      </c>
      <c r="B1" s="153" t="s">
        <v>203</v>
      </c>
      <c r="C1" s="153" t="s">
        <v>265</v>
      </c>
    </row>
    <row r="2" spans="1:3" ht="14.4">
      <c r="A2" s="527" t="s">
        <v>529</v>
      </c>
      <c r="B2" s="561">
        <f>ROUND(SUMIF(应付利息明细表!D:D,应付利息!A2,应付利息明细表!C:C),2)</f>
        <v>0</v>
      </c>
      <c r="C2" s="266"/>
    </row>
    <row r="3" spans="1:3" ht="14.4">
      <c r="A3" s="527" t="s">
        <v>530</v>
      </c>
      <c r="B3" s="561">
        <f>ROUND(SUMIF(应付利息明细表!D:D,应付利息!A3,应付利息明细表!C:C),2)</f>
        <v>0</v>
      </c>
      <c r="C3" s="266"/>
    </row>
    <row r="4" spans="1:3" ht="14.4">
      <c r="A4" s="527" t="s">
        <v>531</v>
      </c>
      <c r="B4" s="561">
        <f>ROUND(SUMIF(应付利息明细表!D:D,应付利息!A4,应付利息明细表!C:C),2)</f>
        <v>0</v>
      </c>
      <c r="C4" s="266"/>
    </row>
    <row r="5" spans="1:3" ht="14.4">
      <c r="A5" s="527" t="s">
        <v>3652</v>
      </c>
      <c r="B5" s="561">
        <f>ROUND(SUMIF(应付利息明细表!D:D,应付利息!A5,应付利息明细表!C:C),2)</f>
        <v>0</v>
      </c>
      <c r="C5" s="266"/>
    </row>
    <row r="6" spans="1:3" ht="14.4">
      <c r="A6" s="527" t="s">
        <v>532</v>
      </c>
      <c r="B6" s="561">
        <f>ROUND(SUMIF(应付利息明细表!D:D,应付利息!A6,应付利息明细表!C:C),2)</f>
        <v>0</v>
      </c>
      <c r="C6" s="264"/>
    </row>
    <row r="7" spans="1:3" ht="14.4">
      <c r="A7" s="35" t="s">
        <v>204</v>
      </c>
      <c r="B7" s="561">
        <f>ROUND(SUM(B2:B6),2)</f>
        <v>0</v>
      </c>
      <c r="C7" s="585">
        <f>ROUND(SUM(C2:C6),2)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4C72E4-1708-49D1-AA6A-2951F04E4E57}">
          <x14:formula1>
            <xm:f>分类表!$39:$39</xm:f>
          </x14:formula1>
          <xm:sqref>A2:A6</xm:sqref>
        </x14:dataValidation>
      </x14:dataValidations>
    </ext>
  </extLst>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codeName="Sheet267">
    <tabColor rgb="FFFFC000"/>
  </sheetPr>
  <dimension ref="A1:C7"/>
  <sheetViews>
    <sheetView workbookViewId="0">
      <selection activeCell="K19" sqref="K19"/>
    </sheetView>
  </sheetViews>
  <sheetFormatPr defaultRowHeight="13.8"/>
  <cols>
    <col min="1" max="16384" width="8.88671875" style="18"/>
  </cols>
  <sheetData>
    <row r="1" spans="1:3" ht="14.4">
      <c r="A1" s="35" t="s">
        <v>276</v>
      </c>
      <c r="B1" s="35" t="s">
        <v>3365</v>
      </c>
      <c r="C1" s="35" t="s">
        <v>289</v>
      </c>
    </row>
    <row r="2" spans="1:3" ht="14.4">
      <c r="A2" s="307"/>
      <c r="B2" s="307"/>
      <c r="C2" s="314"/>
    </row>
    <row r="3" spans="1:3" ht="14.4">
      <c r="A3" s="307"/>
      <c r="B3" s="307"/>
      <c r="C3" s="314"/>
    </row>
    <row r="4" spans="1:3" ht="14.4">
      <c r="A4" s="307"/>
      <c r="B4" s="307"/>
      <c r="C4" s="314"/>
    </row>
    <row r="5" spans="1:3" ht="14.4">
      <c r="A5" s="307"/>
      <c r="B5" s="307"/>
      <c r="C5" s="314"/>
    </row>
    <row r="6" spans="1:3" ht="14.4">
      <c r="A6" s="307"/>
      <c r="B6" s="307"/>
      <c r="C6" s="314"/>
    </row>
    <row r="7" spans="1:3" ht="14.4">
      <c r="A7" s="35" t="s">
        <v>204</v>
      </c>
      <c r="B7" s="43"/>
      <c r="C7" s="41" t="s">
        <v>235</v>
      </c>
    </row>
  </sheetData>
  <phoneticPr fontId="1" type="noConversion"/>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EB27-8F9F-4ECD-BBA3-C34768919496}">
  <sheetPr codeName="Sheet268"/>
  <dimension ref="A1:L24"/>
  <sheetViews>
    <sheetView workbookViewId="0">
      <selection activeCell="D2" sqref="D2"/>
    </sheetView>
  </sheetViews>
  <sheetFormatPr defaultRowHeight="13.8"/>
  <cols>
    <col min="5" max="5" width="15" style="229" bestFit="1" customWidth="1"/>
    <col min="6" max="7" width="6.5546875" style="229" bestFit="1" customWidth="1"/>
    <col min="8" max="8" width="8.5546875" style="229" bestFit="1" customWidth="1"/>
    <col min="9" max="9" width="5.5546875" style="229" bestFit="1" customWidth="1"/>
    <col min="10" max="11" width="10.6640625" bestFit="1" customWidth="1"/>
    <col min="12" max="12" width="5.5546875" style="229" bestFit="1" customWidth="1"/>
  </cols>
  <sheetData>
    <row r="1" spans="1:12">
      <c r="A1" t="s">
        <v>2438</v>
      </c>
      <c r="B1" t="s">
        <v>222</v>
      </c>
      <c r="C1" t="s">
        <v>183</v>
      </c>
      <c r="D1" t="s">
        <v>3651</v>
      </c>
      <c r="E1" s="229" t="s">
        <v>2493</v>
      </c>
      <c r="F1" s="229" t="s">
        <v>259</v>
      </c>
      <c r="G1" s="229" t="s">
        <v>260</v>
      </c>
      <c r="H1" s="229" t="s">
        <v>261</v>
      </c>
      <c r="I1" s="229" t="s">
        <v>204</v>
      </c>
      <c r="J1" s="229" t="s">
        <v>3653</v>
      </c>
      <c r="K1" s="229" t="s">
        <v>3654</v>
      </c>
      <c r="L1" s="229" t="s">
        <v>3650</v>
      </c>
    </row>
    <row r="2" spans="1:12">
      <c r="A2" t="str">
        <f>IF(C2&gt;0,基础信息!$B$1,"")</f>
        <v/>
      </c>
      <c r="B2" s="255"/>
      <c r="C2" s="255"/>
      <c r="D2" s="276"/>
      <c r="E2" s="288"/>
      <c r="F2" s="288"/>
      <c r="G2" s="288"/>
      <c r="H2" s="288"/>
      <c r="I2" s="229">
        <f>SUM(E2:H2)</f>
        <v>0</v>
      </c>
      <c r="L2" s="229">
        <f t="shared" ref="L2:L24" si="0">C2-I2</f>
        <v>0</v>
      </c>
    </row>
    <row r="3" spans="1:12">
      <c r="A3" t="str">
        <f>IF(C3&gt;0,基础信息!$B$1,"")</f>
        <v/>
      </c>
      <c r="B3" s="255"/>
      <c r="C3" s="255"/>
      <c r="D3" s="276"/>
      <c r="E3" s="288"/>
      <c r="F3" s="288"/>
      <c r="G3" s="288"/>
      <c r="H3" s="288"/>
      <c r="I3" s="229">
        <f t="shared" ref="I3:I4" si="1">SUM(E3:H3)</f>
        <v>0</v>
      </c>
      <c r="L3" s="229">
        <f t="shared" si="0"/>
        <v>0</v>
      </c>
    </row>
    <row r="4" spans="1:12">
      <c r="A4" t="str">
        <f>IF(C4&gt;0,基础信息!$B$1,"")</f>
        <v/>
      </c>
      <c r="B4" s="255"/>
      <c r="C4" s="255"/>
      <c r="D4" s="276"/>
      <c r="E4" s="288"/>
      <c r="F4" s="288"/>
      <c r="G4" s="288"/>
      <c r="H4" s="288"/>
      <c r="I4" s="229">
        <f t="shared" si="1"/>
        <v>0</v>
      </c>
      <c r="L4" s="229">
        <f t="shared" si="0"/>
        <v>0</v>
      </c>
    </row>
    <row r="5" spans="1:12">
      <c r="A5" t="str">
        <f>IF(C5&gt;0,基础信息!$B$1,"")</f>
        <v/>
      </c>
      <c r="B5" s="255"/>
      <c r="C5" s="255"/>
      <c r="D5" s="276"/>
      <c r="E5" s="288"/>
      <c r="F5" s="288"/>
      <c r="G5" s="288"/>
      <c r="H5" s="288"/>
      <c r="I5" s="229">
        <f t="shared" ref="I5:I16" si="2">SUM(E5:H5)</f>
        <v>0</v>
      </c>
      <c r="L5" s="229">
        <f t="shared" si="0"/>
        <v>0</v>
      </c>
    </row>
    <row r="6" spans="1:12">
      <c r="A6" t="str">
        <f>IF(C6&gt;0,基础信息!$B$1,"")</f>
        <v/>
      </c>
      <c r="B6" s="255"/>
      <c r="C6" s="255"/>
      <c r="D6" s="276"/>
      <c r="E6" s="288"/>
      <c r="F6" s="288"/>
      <c r="G6" s="288"/>
      <c r="H6" s="288"/>
      <c r="I6" s="229">
        <f t="shared" si="2"/>
        <v>0</v>
      </c>
      <c r="L6" s="229">
        <f t="shared" si="0"/>
        <v>0</v>
      </c>
    </row>
    <row r="7" spans="1:12">
      <c r="A7" t="str">
        <f>IF(C7&gt;0,基础信息!$B$1,"")</f>
        <v/>
      </c>
      <c r="B7" s="255"/>
      <c r="C7" s="255"/>
      <c r="D7" s="276"/>
      <c r="E7" s="288"/>
      <c r="F7" s="288"/>
      <c r="G7" s="288"/>
      <c r="H7" s="288"/>
      <c r="I7" s="229">
        <f t="shared" si="2"/>
        <v>0</v>
      </c>
      <c r="L7" s="229">
        <f t="shared" si="0"/>
        <v>0</v>
      </c>
    </row>
    <row r="8" spans="1:12">
      <c r="A8" t="str">
        <f>IF(C8&gt;0,基础信息!$B$1,"")</f>
        <v/>
      </c>
      <c r="B8" s="255"/>
      <c r="C8" s="255"/>
      <c r="D8" s="276"/>
      <c r="E8" s="288"/>
      <c r="F8" s="288"/>
      <c r="G8" s="288"/>
      <c r="H8" s="288"/>
      <c r="I8" s="229">
        <f t="shared" si="2"/>
        <v>0</v>
      </c>
      <c r="L8" s="229">
        <f t="shared" si="0"/>
        <v>0</v>
      </c>
    </row>
    <row r="9" spans="1:12">
      <c r="A9" t="str">
        <f>IF(C9&gt;0,基础信息!$B$1,"")</f>
        <v/>
      </c>
      <c r="B9" s="255"/>
      <c r="C9" s="255"/>
      <c r="D9" s="276"/>
      <c r="E9" s="288"/>
      <c r="F9" s="288"/>
      <c r="G9" s="288"/>
      <c r="H9" s="288"/>
      <c r="I9" s="229">
        <f t="shared" si="2"/>
        <v>0</v>
      </c>
      <c r="L9" s="229">
        <f t="shared" si="0"/>
        <v>0</v>
      </c>
    </row>
    <row r="10" spans="1:12">
      <c r="A10" t="str">
        <f>IF(C10&gt;0,基础信息!$B$1,"")</f>
        <v/>
      </c>
      <c r="B10" s="255"/>
      <c r="C10" s="255"/>
      <c r="D10" s="276"/>
      <c r="E10" s="288"/>
      <c r="F10" s="288"/>
      <c r="G10" s="288"/>
      <c r="H10" s="288"/>
      <c r="I10" s="229">
        <f t="shared" si="2"/>
        <v>0</v>
      </c>
      <c r="L10" s="229">
        <f t="shared" si="0"/>
        <v>0</v>
      </c>
    </row>
    <row r="11" spans="1:12">
      <c r="A11" t="str">
        <f>IF(C11&gt;0,基础信息!$B$1,"")</f>
        <v/>
      </c>
      <c r="B11" s="255"/>
      <c r="C11" s="255"/>
      <c r="D11" s="276"/>
      <c r="E11" s="288"/>
      <c r="F11" s="288"/>
      <c r="G11" s="288"/>
      <c r="H11" s="288"/>
      <c r="I11" s="229">
        <f t="shared" si="2"/>
        <v>0</v>
      </c>
      <c r="L11" s="229">
        <f t="shared" si="0"/>
        <v>0</v>
      </c>
    </row>
    <row r="12" spans="1:12">
      <c r="A12" t="str">
        <f>IF(C12&gt;0,基础信息!$B$1,"")</f>
        <v/>
      </c>
      <c r="B12" s="255"/>
      <c r="C12" s="255"/>
      <c r="D12" s="276"/>
      <c r="E12" s="288"/>
      <c r="F12" s="288"/>
      <c r="G12" s="288"/>
      <c r="H12" s="288"/>
      <c r="I12" s="229">
        <f t="shared" si="2"/>
        <v>0</v>
      </c>
      <c r="L12" s="229">
        <f t="shared" si="0"/>
        <v>0</v>
      </c>
    </row>
    <row r="13" spans="1:12">
      <c r="A13" t="str">
        <f>IF(C13&gt;0,基础信息!$B$1,"")</f>
        <v/>
      </c>
      <c r="B13" s="255"/>
      <c r="C13" s="255"/>
      <c r="D13" s="276"/>
      <c r="E13" s="288"/>
      <c r="F13" s="288"/>
      <c r="G13" s="288"/>
      <c r="H13" s="288"/>
      <c r="I13" s="229">
        <f t="shared" si="2"/>
        <v>0</v>
      </c>
      <c r="L13" s="229">
        <f t="shared" si="0"/>
        <v>0</v>
      </c>
    </row>
    <row r="14" spans="1:12">
      <c r="A14" t="str">
        <f>IF(C14&gt;0,基础信息!$B$1,"")</f>
        <v/>
      </c>
      <c r="B14" s="255"/>
      <c r="C14" s="255"/>
      <c r="D14" s="276"/>
      <c r="E14" s="288"/>
      <c r="F14" s="288"/>
      <c r="G14" s="288"/>
      <c r="H14" s="288"/>
      <c r="I14" s="229">
        <f t="shared" si="2"/>
        <v>0</v>
      </c>
      <c r="L14" s="229">
        <f t="shared" si="0"/>
        <v>0</v>
      </c>
    </row>
    <row r="15" spans="1:12">
      <c r="A15" t="str">
        <f>IF(C15&gt;0,基础信息!$B$1,"")</f>
        <v/>
      </c>
      <c r="B15" s="255"/>
      <c r="C15" s="255"/>
      <c r="D15" s="276"/>
      <c r="E15" s="288"/>
      <c r="F15" s="288"/>
      <c r="G15" s="288"/>
      <c r="H15" s="288"/>
      <c r="I15" s="229">
        <f t="shared" si="2"/>
        <v>0</v>
      </c>
      <c r="L15" s="229">
        <f t="shared" si="0"/>
        <v>0</v>
      </c>
    </row>
    <row r="16" spans="1:12">
      <c r="A16" t="str">
        <f>IF(C16&gt;0,基础信息!$B$1,"")</f>
        <v/>
      </c>
      <c r="B16" s="255"/>
      <c r="C16" s="255"/>
      <c r="D16" s="276"/>
      <c r="E16" s="288"/>
      <c r="F16" s="288"/>
      <c r="G16" s="288"/>
      <c r="H16" s="288"/>
      <c r="I16" s="229">
        <f t="shared" si="2"/>
        <v>0</v>
      </c>
      <c r="L16" s="229">
        <f t="shared" si="0"/>
        <v>0</v>
      </c>
    </row>
    <row r="17" spans="2:12">
      <c r="B17" s="255"/>
      <c r="C17" s="255"/>
      <c r="D17" s="276"/>
      <c r="E17" s="288"/>
      <c r="F17" s="288"/>
      <c r="G17" s="288"/>
      <c r="H17" s="288"/>
      <c r="I17" s="229">
        <f t="shared" ref="I17:I24" si="3">SUM(E17:H17)</f>
        <v>0</v>
      </c>
      <c r="L17" s="229">
        <f t="shared" si="0"/>
        <v>0</v>
      </c>
    </row>
    <row r="18" spans="2:12">
      <c r="B18" s="255"/>
      <c r="C18" s="255"/>
      <c r="D18" s="276"/>
      <c r="E18" s="288"/>
      <c r="F18" s="288"/>
      <c r="G18" s="288"/>
      <c r="H18" s="288"/>
      <c r="I18" s="229">
        <f t="shared" si="3"/>
        <v>0</v>
      </c>
      <c r="L18" s="229">
        <f t="shared" si="0"/>
        <v>0</v>
      </c>
    </row>
    <row r="19" spans="2:12">
      <c r="B19" s="255"/>
      <c r="C19" s="255"/>
      <c r="D19" s="276"/>
      <c r="E19" s="288"/>
      <c r="F19" s="288"/>
      <c r="G19" s="288"/>
      <c r="H19" s="288"/>
      <c r="I19" s="229">
        <f t="shared" si="3"/>
        <v>0</v>
      </c>
      <c r="L19" s="229">
        <f t="shared" si="0"/>
        <v>0</v>
      </c>
    </row>
    <row r="20" spans="2:12">
      <c r="B20" s="255"/>
      <c r="C20" s="255"/>
      <c r="D20" s="276"/>
      <c r="E20" s="288"/>
      <c r="F20" s="288"/>
      <c r="G20" s="288"/>
      <c r="H20" s="288"/>
      <c r="I20" s="229">
        <f t="shared" si="3"/>
        <v>0</v>
      </c>
      <c r="L20" s="229">
        <f t="shared" si="0"/>
        <v>0</v>
      </c>
    </row>
    <row r="21" spans="2:12">
      <c r="B21" s="255"/>
      <c r="C21" s="255"/>
      <c r="D21" s="276"/>
      <c r="E21" s="288"/>
      <c r="F21" s="288"/>
      <c r="G21" s="288"/>
      <c r="H21" s="288"/>
      <c r="I21" s="229">
        <f t="shared" si="3"/>
        <v>0</v>
      </c>
      <c r="L21" s="229">
        <f t="shared" si="0"/>
        <v>0</v>
      </c>
    </row>
    <row r="22" spans="2:12">
      <c r="B22" s="255"/>
      <c r="C22" s="255"/>
      <c r="D22" s="276"/>
      <c r="E22" s="288"/>
      <c r="F22" s="288"/>
      <c r="G22" s="288"/>
      <c r="H22" s="288"/>
      <c r="I22" s="229">
        <f t="shared" si="3"/>
        <v>0</v>
      </c>
      <c r="L22" s="229">
        <f t="shared" si="0"/>
        <v>0</v>
      </c>
    </row>
    <row r="23" spans="2:12">
      <c r="B23" s="255"/>
      <c r="C23" s="255"/>
      <c r="D23" s="276"/>
      <c r="E23" s="288"/>
      <c r="F23" s="288"/>
      <c r="G23" s="288"/>
      <c r="H23" s="288"/>
      <c r="I23" s="229">
        <f t="shared" si="3"/>
        <v>0</v>
      </c>
      <c r="L23" s="229">
        <f t="shared" si="0"/>
        <v>0</v>
      </c>
    </row>
    <row r="24" spans="2:12">
      <c r="B24" s="255"/>
      <c r="C24" s="255"/>
      <c r="D24" s="276"/>
      <c r="E24" s="288"/>
      <c r="F24" s="288"/>
      <c r="G24" s="288"/>
      <c r="H24" s="288"/>
      <c r="I24" s="229">
        <f t="shared" si="3"/>
        <v>0</v>
      </c>
      <c r="L24" s="22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D93D0BD-F784-4032-B6BC-7CA8D0BB86AE}">
          <x14:formula1>
            <xm:f>分类表!$39:$39</xm:f>
          </x14:formula1>
          <xm:sqref>D2:D24</xm:sqref>
        </x14:dataValidation>
      </x14:dataValidations>
    </ext>
  </extLst>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codeName="Sheet269">
    <tabColor rgb="FFFFC000"/>
  </sheetPr>
  <dimension ref="A1:C5"/>
  <sheetViews>
    <sheetView workbookViewId="0">
      <selection activeCell="F15" sqref="F15:F16"/>
    </sheetView>
  </sheetViews>
  <sheetFormatPr defaultRowHeight="13.8"/>
  <cols>
    <col min="1" max="1" width="41.77734375" style="18" customWidth="1"/>
    <col min="2" max="16384" width="8.88671875" style="18"/>
  </cols>
  <sheetData>
    <row r="1" spans="1:3" ht="14.4">
      <c r="A1" s="35" t="s">
        <v>28</v>
      </c>
      <c r="B1" s="20" t="s">
        <v>203</v>
      </c>
      <c r="C1" s="20" t="s">
        <v>265</v>
      </c>
    </row>
    <row r="2" spans="1:3" ht="14.4">
      <c r="A2" s="34" t="s">
        <v>533</v>
      </c>
      <c r="B2" s="289">
        <f>ROUND(SUMIF(应付股利明细表!C:C,A2,应付股利明细表!H:H),2)</f>
        <v>0</v>
      </c>
      <c r="C2" s="289">
        <f>ROUND(SUMIF(应付股利明细表!C:C,A2,应付股利明细表!D:D),2)</f>
        <v>0</v>
      </c>
    </row>
    <row r="3" spans="1:3" ht="14.4">
      <c r="A3" s="34" t="s">
        <v>3657</v>
      </c>
      <c r="B3" s="289">
        <f>ROUND(SUMIF(应付股利明细表!C:C,A3,应付股利明细表!H:H),2)</f>
        <v>0</v>
      </c>
      <c r="C3" s="289">
        <f>ROUND(SUMIF(应付股利明细表!C:C,A3,应付股利明细表!D:D),2)</f>
        <v>0</v>
      </c>
    </row>
    <row r="4" spans="1:3" ht="14.4">
      <c r="A4" s="34" t="s">
        <v>202</v>
      </c>
      <c r="B4" s="289">
        <f>ROUND(SUMIF(应付股利明细表!C:C,A4,应付股利明细表!H:H),2)</f>
        <v>0</v>
      </c>
      <c r="C4" s="289">
        <f>ROUND(SUMIF(应付股利明细表!C:C,A4,应付股利明细表!D:D),2)</f>
        <v>0</v>
      </c>
    </row>
    <row r="5" spans="1:3" ht="14.4">
      <c r="A5" s="35" t="s">
        <v>204</v>
      </c>
      <c r="B5" s="156">
        <f>ROUND(SUM(B2:B4),2)</f>
        <v>0</v>
      </c>
      <c r="C5" s="156">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685C71-A2D3-49EB-B004-A33DD89AACDB}">
          <x14:formula1>
            <xm:f>分类表!$101:$101</xm:f>
          </x14:formula1>
          <xm:sqref>A2:A4</xm:sqref>
        </x14:dataValidation>
      </x14:dataValidations>
    </ext>
  </extLst>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codeName="Sheet270">
    <tabColor rgb="FFFFC000"/>
  </sheetPr>
  <dimension ref="A1:C6"/>
  <sheetViews>
    <sheetView workbookViewId="0">
      <selection activeCell="L22" sqref="L22"/>
    </sheetView>
  </sheetViews>
  <sheetFormatPr defaultRowHeight="13.8"/>
  <cols>
    <col min="1" max="1" width="8.88671875" style="18"/>
    <col min="2" max="3" width="11.6640625" style="18" bestFit="1" customWidth="1"/>
    <col min="4" max="16384" width="8.88671875" style="18"/>
  </cols>
  <sheetData>
    <row r="1" spans="1:3" ht="14.4">
      <c r="A1" s="19" t="s">
        <v>28</v>
      </c>
      <c r="B1" s="20" t="s">
        <v>3366</v>
      </c>
      <c r="C1" s="20" t="s">
        <v>534</v>
      </c>
    </row>
    <row r="2" spans="1:3" ht="14.4">
      <c r="A2" s="268"/>
      <c r="B2" s="269"/>
      <c r="C2" s="269"/>
    </row>
    <row r="3" spans="1:3" ht="14.4">
      <c r="A3" s="268"/>
      <c r="B3" s="269"/>
      <c r="C3" s="269"/>
    </row>
    <row r="4" spans="1:3" ht="14.4">
      <c r="A4" s="268"/>
      <c r="B4" s="269"/>
      <c r="C4" s="269"/>
    </row>
    <row r="5" spans="1:3" ht="14.4">
      <c r="A5" s="268"/>
      <c r="B5" s="280"/>
      <c r="C5" s="268"/>
    </row>
    <row r="6" spans="1:3" ht="14.4">
      <c r="A6" s="19" t="s">
        <v>262</v>
      </c>
      <c r="B6" s="68">
        <f>SUM(B2:B5)</f>
        <v>0</v>
      </c>
      <c r="C6" s="333"/>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1E283-6702-4484-BE9A-EC7FB1AD5D3A}">
  <sheetPr codeName="Sheet271"/>
  <dimension ref="A1:N24"/>
  <sheetViews>
    <sheetView workbookViewId="0">
      <selection activeCell="F27" sqref="F27"/>
    </sheetView>
  </sheetViews>
  <sheetFormatPr defaultRowHeight="13.8"/>
  <cols>
    <col min="2" max="2" width="13.88671875" bestFit="1" customWidth="1"/>
    <col min="3" max="3" width="13.88671875" customWidth="1"/>
    <col min="4" max="5" width="9.5546875" bestFit="1" customWidth="1"/>
    <col min="6" max="6" width="35.88671875" bestFit="1" customWidth="1"/>
    <col min="7" max="7" width="9.5546875" bestFit="1" customWidth="1"/>
    <col min="8" max="8" width="10.6640625" style="229" bestFit="1" customWidth="1"/>
    <col min="9" max="9" width="9.6640625" style="229" bestFit="1" customWidth="1"/>
    <col min="10" max="11" width="8.6640625" style="229" bestFit="1" customWidth="1"/>
    <col min="12" max="12" width="9.6640625" style="229" bestFit="1" customWidth="1"/>
    <col min="13" max="13" width="6.6640625" style="229" bestFit="1" customWidth="1"/>
    <col min="14" max="14" width="24.88671875" bestFit="1" customWidth="1"/>
  </cols>
  <sheetData>
    <row r="1" spans="1:14">
      <c r="A1" t="s">
        <v>2383</v>
      </c>
      <c r="B1" t="s">
        <v>3523</v>
      </c>
      <c r="C1" t="s">
        <v>1977</v>
      </c>
      <c r="D1" t="s">
        <v>578</v>
      </c>
      <c r="E1" t="s">
        <v>359</v>
      </c>
      <c r="F1" t="s">
        <v>3655</v>
      </c>
      <c r="G1" t="s">
        <v>477</v>
      </c>
      <c r="H1" s="229" t="s">
        <v>390</v>
      </c>
      <c r="I1" s="229" t="s">
        <v>258</v>
      </c>
      <c r="J1" s="229" t="s">
        <v>3393</v>
      </c>
      <c r="K1" s="229" t="s">
        <v>3394</v>
      </c>
      <c r="L1" s="229" t="s">
        <v>261</v>
      </c>
      <c r="M1" s="229" t="s">
        <v>2351</v>
      </c>
      <c r="N1" t="s">
        <v>3656</v>
      </c>
    </row>
    <row r="2" spans="1:14">
      <c r="A2" t="str">
        <f>IF(OR(D2&gt;0,H2&gt;0),基础信息!B1,"")</f>
        <v/>
      </c>
      <c r="C2" s="276"/>
      <c r="H2" s="229">
        <f>D2+E2+F2-G2</f>
        <v>0</v>
      </c>
      <c r="M2" s="229">
        <f>H2-SUM(I2:L2)</f>
        <v>0</v>
      </c>
    </row>
    <row r="3" spans="1:14">
      <c r="A3" t="str">
        <f>IF(OR(D3&gt;0,H3&gt;0),基础信息!B2,"")</f>
        <v/>
      </c>
      <c r="C3" s="276"/>
      <c r="H3" s="229">
        <f t="shared" ref="H3:H22" si="0">D3+E3+F3-G3</f>
        <v>0</v>
      </c>
      <c r="M3" s="229">
        <f t="shared" ref="M3:M22" si="1">H3-SUM(I3:L3)</f>
        <v>0</v>
      </c>
    </row>
    <row r="4" spans="1:14">
      <c r="A4" t="str">
        <f>IF(OR(D4&gt;0,H4&gt;0),基础信息!B3,"")</f>
        <v/>
      </c>
      <c r="C4" s="276"/>
      <c r="H4" s="229">
        <f t="shared" si="0"/>
        <v>0</v>
      </c>
      <c r="M4" s="229">
        <f t="shared" si="1"/>
        <v>0</v>
      </c>
    </row>
    <row r="5" spans="1:14">
      <c r="A5" t="str">
        <f>IF(OR(D5&gt;0,H5&gt;0),基础信息!B4,"")</f>
        <v/>
      </c>
      <c r="C5" s="276"/>
      <c r="H5" s="229">
        <f t="shared" si="0"/>
        <v>0</v>
      </c>
      <c r="M5" s="229">
        <f t="shared" si="1"/>
        <v>0</v>
      </c>
    </row>
    <row r="6" spans="1:14">
      <c r="A6" t="str">
        <f>IF(OR(D6&gt;0,H6&gt;0),基础信息!B5,"")</f>
        <v/>
      </c>
      <c r="C6" s="276"/>
      <c r="H6" s="229">
        <f t="shared" si="0"/>
        <v>0</v>
      </c>
      <c r="M6" s="229">
        <f t="shared" si="1"/>
        <v>0</v>
      </c>
    </row>
    <row r="7" spans="1:14">
      <c r="A7" t="str">
        <f>IF(OR(D7&gt;0,H7&gt;0),基础信息!B6,"")</f>
        <v/>
      </c>
      <c r="C7" s="276"/>
      <c r="H7" s="229">
        <f t="shared" si="0"/>
        <v>0</v>
      </c>
      <c r="M7" s="229">
        <f t="shared" si="1"/>
        <v>0</v>
      </c>
    </row>
    <row r="8" spans="1:14">
      <c r="A8" t="str">
        <f>IF(OR(D8&gt;0,H8&gt;0),基础信息!B7,"")</f>
        <v/>
      </c>
      <c r="C8" s="276"/>
      <c r="H8" s="229">
        <f t="shared" si="0"/>
        <v>0</v>
      </c>
      <c r="M8" s="229">
        <f t="shared" si="1"/>
        <v>0</v>
      </c>
    </row>
    <row r="9" spans="1:14">
      <c r="A9" t="str">
        <f>IF(OR(D9&gt;0,H9&gt;0),基础信息!B8,"")</f>
        <v/>
      </c>
      <c r="C9" s="276"/>
      <c r="H9" s="229">
        <f t="shared" si="0"/>
        <v>0</v>
      </c>
      <c r="M9" s="229">
        <f t="shared" si="1"/>
        <v>0</v>
      </c>
    </row>
    <row r="10" spans="1:14">
      <c r="A10" t="str">
        <f>IF(OR(D10&gt;0,H10&gt;0),基础信息!B9,"")</f>
        <v/>
      </c>
      <c r="C10" s="276"/>
      <c r="H10" s="229">
        <f t="shared" si="0"/>
        <v>0</v>
      </c>
      <c r="M10" s="229">
        <f t="shared" si="1"/>
        <v>0</v>
      </c>
    </row>
    <row r="11" spans="1:14">
      <c r="A11" t="str">
        <f>IF(OR(D11&gt;0,H11&gt;0),基础信息!B10,"")</f>
        <v/>
      </c>
      <c r="C11" s="276"/>
      <c r="H11" s="229">
        <f t="shared" si="0"/>
        <v>0</v>
      </c>
      <c r="M11" s="229">
        <f t="shared" si="1"/>
        <v>0</v>
      </c>
    </row>
    <row r="12" spans="1:14">
      <c r="A12" t="str">
        <f>IF(OR(D12&gt;0,H12&gt;0),基础信息!B11,"")</f>
        <v/>
      </c>
      <c r="C12" s="276"/>
      <c r="H12" s="229">
        <f t="shared" si="0"/>
        <v>0</v>
      </c>
      <c r="M12" s="229">
        <f t="shared" si="1"/>
        <v>0</v>
      </c>
    </row>
    <row r="13" spans="1:14">
      <c r="A13" t="str">
        <f>IF(OR(D13&gt;0,H13&gt;0),基础信息!B12,"")</f>
        <v/>
      </c>
      <c r="C13" s="276"/>
      <c r="H13" s="229">
        <f t="shared" si="0"/>
        <v>0</v>
      </c>
      <c r="M13" s="229">
        <f t="shared" si="1"/>
        <v>0</v>
      </c>
    </row>
    <row r="14" spans="1:14">
      <c r="A14" t="str">
        <f>IF(OR(D14&gt;0,H14&gt;0),基础信息!B13,"")</f>
        <v/>
      </c>
      <c r="C14" s="276"/>
      <c r="H14" s="229">
        <f t="shared" si="0"/>
        <v>0</v>
      </c>
      <c r="M14" s="229">
        <f t="shared" si="1"/>
        <v>0</v>
      </c>
    </row>
    <row r="15" spans="1:14">
      <c r="A15" t="str">
        <f>IF(OR(D15&gt;0,H15&gt;0),基础信息!B14,"")</f>
        <v/>
      </c>
      <c r="C15" s="276"/>
      <c r="H15" s="229">
        <f t="shared" si="0"/>
        <v>0</v>
      </c>
      <c r="M15" s="229">
        <f t="shared" si="1"/>
        <v>0</v>
      </c>
    </row>
    <row r="16" spans="1:14">
      <c r="A16" t="str">
        <f>IF(OR(D16&gt;0,H16&gt;0),基础信息!B15,"")</f>
        <v/>
      </c>
      <c r="C16" s="276"/>
      <c r="H16" s="229">
        <f t="shared" si="0"/>
        <v>0</v>
      </c>
      <c r="M16" s="229">
        <f t="shared" si="1"/>
        <v>0</v>
      </c>
    </row>
    <row r="17" spans="1:13">
      <c r="A17" t="str">
        <f>IF(OR(D17&gt;0,H17&gt;0),基础信息!B16,"")</f>
        <v/>
      </c>
      <c r="C17" s="276"/>
      <c r="H17" s="229">
        <f t="shared" si="0"/>
        <v>0</v>
      </c>
      <c r="M17" s="229">
        <f t="shared" si="1"/>
        <v>0</v>
      </c>
    </row>
    <row r="18" spans="1:13">
      <c r="A18" t="str">
        <f>IF(OR(D18&gt;0,H18&gt;0),基础信息!B17,"")</f>
        <v/>
      </c>
      <c r="C18" s="276"/>
      <c r="H18" s="229">
        <f t="shared" si="0"/>
        <v>0</v>
      </c>
      <c r="M18" s="229">
        <f t="shared" si="1"/>
        <v>0</v>
      </c>
    </row>
    <row r="19" spans="1:13">
      <c r="A19" t="str">
        <f>IF(OR(D19&gt;0,H19&gt;0),基础信息!B18,"")</f>
        <v/>
      </c>
      <c r="C19" s="276"/>
      <c r="H19" s="229">
        <f t="shared" si="0"/>
        <v>0</v>
      </c>
      <c r="M19" s="229">
        <f t="shared" si="1"/>
        <v>0</v>
      </c>
    </row>
    <row r="20" spans="1:13">
      <c r="A20" t="str">
        <f>IF(OR(D20&gt;0,H20&gt;0),基础信息!B19,"")</f>
        <v/>
      </c>
      <c r="C20" s="276"/>
      <c r="H20" s="229">
        <f t="shared" si="0"/>
        <v>0</v>
      </c>
      <c r="M20" s="229">
        <f t="shared" si="1"/>
        <v>0</v>
      </c>
    </row>
    <row r="21" spans="1:13">
      <c r="A21" t="str">
        <f>IF(OR(D21&gt;0,H21&gt;0),基础信息!B20,"")</f>
        <v/>
      </c>
      <c r="C21" s="276"/>
      <c r="H21" s="229">
        <f t="shared" si="0"/>
        <v>0</v>
      </c>
      <c r="M21" s="229">
        <f t="shared" si="1"/>
        <v>0</v>
      </c>
    </row>
    <row r="22" spans="1:13">
      <c r="A22" t="str">
        <f>IF(OR(D22&gt;0,H22&gt;0),基础信息!B21,"")</f>
        <v/>
      </c>
      <c r="C22" s="276"/>
      <c r="H22" s="229">
        <f t="shared" si="0"/>
        <v>0</v>
      </c>
      <c r="M22" s="229">
        <f t="shared" si="1"/>
        <v>0</v>
      </c>
    </row>
    <row r="23" spans="1:13">
      <c r="A23" t="str">
        <f>IF(OR(D23&gt;0,H23&gt;0),基础信息!B22,"")</f>
        <v/>
      </c>
    </row>
    <row r="24" spans="1:13">
      <c r="A24" t="str">
        <f>IF(OR(D24&gt;0,H24&gt;0),基础信息!B23,"")</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9D2D52-7EE0-4126-883C-A9B8752B80B1}">
          <x14:formula1>
            <xm:f>分类表!$101:$101</xm:f>
          </x14:formula1>
          <xm:sqref>C2:C22</xm:sqref>
        </x14:dataValidation>
      </x14:dataValidations>
    </ext>
  </extLst>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codeName="Sheet272">
    <tabColor rgb="FFFFC000"/>
  </sheetPr>
  <dimension ref="A1:C6"/>
  <sheetViews>
    <sheetView workbookViewId="0">
      <selection activeCell="G15" sqref="G15"/>
    </sheetView>
  </sheetViews>
  <sheetFormatPr defaultRowHeight="13.8"/>
  <cols>
    <col min="1" max="3" width="12.88671875" style="18" customWidth="1"/>
    <col min="4" max="16384" width="8.88671875" style="18"/>
  </cols>
  <sheetData>
    <row r="1" spans="1:3" ht="14.4">
      <c r="A1" s="20" t="s">
        <v>28</v>
      </c>
      <c r="B1" s="20" t="s">
        <v>203</v>
      </c>
      <c r="C1" s="20" t="s">
        <v>265</v>
      </c>
    </row>
    <row r="2" spans="1:3" ht="14.4">
      <c r="A2" s="586"/>
      <c r="B2" s="298">
        <f>ROUND(SUMIF(其他应付款明细表!D:D,A2,其他应付款明细表!C:C),2)</f>
        <v>0</v>
      </c>
      <c r="C2" s="280"/>
    </row>
    <row r="3" spans="1:3" ht="14.4">
      <c r="A3" s="586"/>
      <c r="B3" s="298">
        <f>ROUND(SUMIF(其他应付款明细表!D:D,A3,其他应付款明细表!C:C),2)</f>
        <v>0</v>
      </c>
      <c r="C3" s="280"/>
    </row>
    <row r="4" spans="1:3" ht="14.4">
      <c r="A4" s="586"/>
      <c r="B4" s="298">
        <f>ROUND(SUMIF(其他应付款明细表!D:D,A4,其他应付款明细表!C:C),2)</f>
        <v>0</v>
      </c>
      <c r="C4" s="280"/>
    </row>
    <row r="5" spans="1:3" ht="14.4">
      <c r="A5" s="586"/>
      <c r="B5" s="298">
        <f>ROUND(SUMIF(其他应付款明细表!D:D,A5,其他应付款明细表!C:C),2)</f>
        <v>0</v>
      </c>
      <c r="C5" s="280"/>
    </row>
    <row r="6" spans="1:3" ht="14.4">
      <c r="A6" s="20" t="s">
        <v>204</v>
      </c>
      <c r="B6" s="50">
        <f>ROUND(SUM(B2:B5),2)</f>
        <v>0</v>
      </c>
      <c r="C6" s="50">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A34E61-2C11-4E68-9541-8B1690094843}">
          <x14:formula1>
            <xm:f>分类表!$35:$35</xm:f>
          </x14:formula1>
          <xm:sqref>A2:A5</xm:sqref>
        </x14:dataValidation>
      </x14:dataValidations>
    </ext>
  </extLst>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codeName="Sheet273">
    <tabColor rgb="FFFFC000"/>
  </sheetPr>
  <dimension ref="A1:C4"/>
  <sheetViews>
    <sheetView workbookViewId="0">
      <selection activeCell="D18" sqref="D18"/>
    </sheetView>
  </sheetViews>
  <sheetFormatPr defaultRowHeight="13.8"/>
  <cols>
    <col min="1" max="3" width="24.33203125" style="18" customWidth="1"/>
    <col min="4" max="16384" width="8.88671875" style="18"/>
  </cols>
  <sheetData>
    <row r="1" spans="1:3">
      <c r="A1" s="24" t="s">
        <v>504</v>
      </c>
      <c r="B1" s="24" t="s">
        <v>245</v>
      </c>
      <c r="C1" s="24" t="s">
        <v>3658</v>
      </c>
    </row>
    <row r="2" spans="1:3">
      <c r="A2" s="334"/>
      <c r="B2" s="335"/>
      <c r="C2" s="320"/>
    </row>
    <row r="3" spans="1:3">
      <c r="A3" s="334"/>
      <c r="B3" s="335"/>
      <c r="C3" s="320"/>
    </row>
    <row r="4" spans="1:3">
      <c r="A4" s="24" t="s">
        <v>204</v>
      </c>
      <c r="B4" s="77">
        <f>ROUND(SUM(B2:B3),2)</f>
        <v>0</v>
      </c>
      <c r="C4" s="76"/>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codeName="Sheet25">
    <tabColor rgb="FF00B0F0"/>
  </sheetPr>
  <dimension ref="A1:B11"/>
  <sheetViews>
    <sheetView workbookViewId="0">
      <selection activeCell="G29" sqref="G29"/>
    </sheetView>
  </sheetViews>
  <sheetFormatPr defaultRowHeight="13.8"/>
  <cols>
    <col min="1" max="1" width="22.6640625" bestFit="1" customWidth="1"/>
    <col min="2" max="2" width="9.5546875" customWidth="1"/>
  </cols>
  <sheetData>
    <row r="1" spans="1:2">
      <c r="A1" s="344" t="s">
        <v>2497</v>
      </c>
      <c r="B1" s="343" t="s">
        <v>2478</v>
      </c>
    </row>
    <row r="2" spans="1:2">
      <c r="A2" s="18" t="s">
        <v>2502</v>
      </c>
      <c r="B2" s="18">
        <f>VLOOKUP("职工薪酬",管理费用!A:B,2,0)</f>
        <v>0</v>
      </c>
    </row>
    <row r="3" spans="1:2">
      <c r="A3" s="18" t="s">
        <v>2503</v>
      </c>
      <c r="B3" s="18">
        <f>VLOOKUP("职工薪酬",销售费用!A:B,2,0)</f>
        <v>0</v>
      </c>
    </row>
    <row r="4" spans="1:2">
      <c r="A4" s="18" t="s">
        <v>2510</v>
      </c>
      <c r="B4" s="138"/>
    </row>
    <row r="5" spans="1:2">
      <c r="A5" s="150" t="s">
        <v>2505</v>
      </c>
      <c r="B5" s="138"/>
    </row>
    <row r="6" spans="1:2">
      <c r="A6" s="150" t="s">
        <v>2504</v>
      </c>
      <c r="B6" s="138"/>
    </row>
    <row r="7" spans="1:2">
      <c r="A7" s="150" t="s">
        <v>2506</v>
      </c>
      <c r="B7" s="138"/>
    </row>
    <row r="8" spans="1:2">
      <c r="A8" s="150"/>
      <c r="B8" s="138"/>
    </row>
    <row r="9" spans="1:2">
      <c r="A9" s="150"/>
      <c r="B9" s="1"/>
    </row>
    <row r="10" spans="1:2">
      <c r="A10" s="150" t="s">
        <v>2507</v>
      </c>
      <c r="B10" s="1">
        <f>应付职工薪酬明细情况!C7</f>
        <v>0</v>
      </c>
    </row>
    <row r="11" spans="1:2">
      <c r="A11" s="246" t="s">
        <v>2501</v>
      </c>
      <c r="B11" s="138">
        <f>SUM(B2:B9)-B10</f>
        <v>0</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sheetPr codeName="Sheet274"/>
  <dimension ref="A1:K22"/>
  <sheetViews>
    <sheetView workbookViewId="0">
      <pane xSplit="1" ySplit="1" topLeftCell="B2" activePane="bottomRight" state="frozen"/>
      <selection activeCell="D22" sqref="D22"/>
      <selection pane="topRight" activeCell="D22" sqref="D22"/>
      <selection pane="bottomLeft" activeCell="D22" sqref="D22"/>
      <selection pane="bottomRight" activeCell="A7" sqref="A7"/>
    </sheetView>
  </sheetViews>
  <sheetFormatPr defaultRowHeight="13.8"/>
  <cols>
    <col min="1" max="10" width="14.77734375" customWidth="1"/>
    <col min="11" max="11" width="24.88671875" bestFit="1" customWidth="1"/>
  </cols>
  <sheetData>
    <row r="1" spans="1:11" s="336" customFormat="1">
      <c r="A1" s="325" t="s">
        <v>1976</v>
      </c>
      <c r="B1" s="325" t="s">
        <v>125</v>
      </c>
      <c r="C1" s="326" t="s">
        <v>183</v>
      </c>
      <c r="D1" s="326" t="s">
        <v>2348</v>
      </c>
      <c r="E1" s="326" t="s">
        <v>2493</v>
      </c>
      <c r="F1" s="326" t="s">
        <v>259</v>
      </c>
      <c r="G1" s="326" t="s">
        <v>260</v>
      </c>
      <c r="H1" s="326" t="s">
        <v>261</v>
      </c>
      <c r="I1" s="327" t="s">
        <v>204</v>
      </c>
      <c r="J1" s="326" t="s">
        <v>2351</v>
      </c>
      <c r="K1" s="336" t="s">
        <v>3659</v>
      </c>
    </row>
    <row r="2" spans="1:11">
      <c r="A2" s="229" t="str">
        <f>IF(C2&gt;0,基础信息!$B$1,"")</f>
        <v/>
      </c>
      <c r="B2" s="255"/>
      <c r="C2" s="255"/>
      <c r="D2" s="276"/>
      <c r="E2" s="255"/>
      <c r="F2" s="255"/>
      <c r="G2" s="255"/>
      <c r="H2" s="255"/>
      <c r="I2" s="229">
        <f>SUM(E2:H2)</f>
        <v>0</v>
      </c>
      <c r="J2" s="230">
        <f>C2-I2</f>
        <v>0</v>
      </c>
    </row>
    <row r="3" spans="1:11">
      <c r="A3" s="229" t="str">
        <f>IF(C3&gt;0,基础信息!$B$1,"")</f>
        <v/>
      </c>
      <c r="B3" s="255"/>
      <c r="C3" s="255"/>
      <c r="D3" s="276"/>
      <c r="E3" s="255"/>
      <c r="F3" s="255"/>
      <c r="G3" s="255"/>
      <c r="H3" s="255"/>
      <c r="I3" s="229">
        <f t="shared" ref="I3:I21" si="0">SUM(E3:H3)</f>
        <v>0</v>
      </c>
      <c r="J3" s="230">
        <f t="shared" ref="J3:J21" si="1">C3-I3</f>
        <v>0</v>
      </c>
    </row>
    <row r="4" spans="1:11">
      <c r="A4" s="229" t="str">
        <f>IF(C4&gt;0,基础信息!$B$1,"")</f>
        <v/>
      </c>
      <c r="B4" s="255"/>
      <c r="C4" s="255"/>
      <c r="D4" s="276"/>
      <c r="E4" s="255"/>
      <c r="F4" s="255"/>
      <c r="G4" s="255"/>
      <c r="H4" s="255"/>
      <c r="I4" s="229">
        <f t="shared" si="0"/>
        <v>0</v>
      </c>
      <c r="J4" s="230">
        <f t="shared" si="1"/>
        <v>0</v>
      </c>
    </row>
    <row r="5" spans="1:11">
      <c r="A5" s="229" t="str">
        <f>IF(C5&gt;0,基础信息!$B$1,"")</f>
        <v/>
      </c>
      <c r="B5" s="255"/>
      <c r="C5" s="255"/>
      <c r="D5" s="276"/>
      <c r="E5" s="255"/>
      <c r="F5" s="255"/>
      <c r="G5" s="255"/>
      <c r="H5" s="255"/>
      <c r="I5" s="229">
        <f t="shared" si="0"/>
        <v>0</v>
      </c>
      <c r="J5" s="230">
        <f t="shared" si="1"/>
        <v>0</v>
      </c>
    </row>
    <row r="6" spans="1:11">
      <c r="A6" s="229" t="str">
        <f>IF(C6&gt;0,基础信息!$B$1,"")</f>
        <v/>
      </c>
      <c r="B6" s="255"/>
      <c r="C6" s="255"/>
      <c r="D6" s="276"/>
      <c r="E6" s="255"/>
      <c r="F6" s="255"/>
      <c r="G6" s="255"/>
      <c r="H6" s="255"/>
      <c r="I6" s="229">
        <f t="shared" si="0"/>
        <v>0</v>
      </c>
      <c r="J6" s="230">
        <f t="shared" si="1"/>
        <v>0</v>
      </c>
    </row>
    <row r="7" spans="1:11">
      <c r="A7" s="229" t="str">
        <f>IF(C7&gt;0,基础信息!$B$1,"")</f>
        <v/>
      </c>
      <c r="B7" s="255"/>
      <c r="C7" s="255"/>
      <c r="D7" s="276"/>
      <c r="E7" s="255"/>
      <c r="F7" s="255"/>
      <c r="G7" s="255"/>
      <c r="H7" s="255"/>
      <c r="I7" s="229">
        <f t="shared" si="0"/>
        <v>0</v>
      </c>
      <c r="J7" s="230">
        <f t="shared" si="1"/>
        <v>0</v>
      </c>
    </row>
    <row r="8" spans="1:11">
      <c r="A8" s="229" t="str">
        <f>IF(C8&gt;0,基础信息!$B$1,"")</f>
        <v/>
      </c>
      <c r="B8" s="255"/>
      <c r="C8" s="255"/>
      <c r="D8" s="276"/>
      <c r="E8" s="255"/>
      <c r="F8" s="255"/>
      <c r="G8" s="255"/>
      <c r="H8" s="255"/>
      <c r="I8" s="229">
        <f t="shared" si="0"/>
        <v>0</v>
      </c>
      <c r="J8" s="230">
        <f t="shared" si="1"/>
        <v>0</v>
      </c>
    </row>
    <row r="9" spans="1:11">
      <c r="A9" s="229" t="str">
        <f>IF(C9&gt;0,基础信息!$B$1,"")</f>
        <v/>
      </c>
      <c r="B9" s="255"/>
      <c r="C9" s="255"/>
      <c r="D9" s="276"/>
      <c r="E9" s="255"/>
      <c r="F9" s="255"/>
      <c r="G9" s="255"/>
      <c r="H9" s="255"/>
      <c r="I9" s="229">
        <f t="shared" si="0"/>
        <v>0</v>
      </c>
      <c r="J9" s="230">
        <f t="shared" si="1"/>
        <v>0</v>
      </c>
    </row>
    <row r="10" spans="1:11">
      <c r="A10" s="229" t="str">
        <f>IF(C10&gt;0,基础信息!$B$1,"")</f>
        <v/>
      </c>
      <c r="B10" s="255"/>
      <c r="C10" s="255"/>
      <c r="D10" s="276"/>
      <c r="E10" s="255"/>
      <c r="F10" s="255"/>
      <c r="G10" s="255"/>
      <c r="H10" s="255"/>
      <c r="I10" s="229">
        <f t="shared" si="0"/>
        <v>0</v>
      </c>
      <c r="J10" s="230">
        <f t="shared" si="1"/>
        <v>0</v>
      </c>
    </row>
    <row r="11" spans="1:11">
      <c r="A11" s="229" t="str">
        <f>IF(C11&gt;0,基础信息!$B$1,"")</f>
        <v/>
      </c>
      <c r="B11" s="255"/>
      <c r="C11" s="255"/>
      <c r="D11" s="276"/>
      <c r="E11" s="255"/>
      <c r="F11" s="255"/>
      <c r="G11" s="255"/>
      <c r="H11" s="255"/>
      <c r="I11" s="229">
        <f t="shared" si="0"/>
        <v>0</v>
      </c>
      <c r="J11" s="230">
        <f t="shared" si="1"/>
        <v>0</v>
      </c>
    </row>
    <row r="12" spans="1:11">
      <c r="A12" s="229" t="str">
        <f>IF(C12&gt;0,基础信息!$B$1,"")</f>
        <v/>
      </c>
      <c r="B12" s="255"/>
      <c r="C12" s="255"/>
      <c r="D12" s="276"/>
      <c r="E12" s="255"/>
      <c r="F12" s="255"/>
      <c r="G12" s="255"/>
      <c r="H12" s="255"/>
      <c r="I12" s="229">
        <f t="shared" si="0"/>
        <v>0</v>
      </c>
      <c r="J12" s="230">
        <f t="shared" si="1"/>
        <v>0</v>
      </c>
    </row>
    <row r="13" spans="1:11">
      <c r="A13" s="229" t="str">
        <f>IF(C13&gt;0,基础信息!$B$1,"")</f>
        <v/>
      </c>
      <c r="B13" s="255"/>
      <c r="C13" s="255"/>
      <c r="D13" s="276"/>
      <c r="E13" s="255"/>
      <c r="F13" s="255"/>
      <c r="G13" s="255"/>
      <c r="H13" s="255"/>
      <c r="I13" s="229">
        <f t="shared" si="0"/>
        <v>0</v>
      </c>
      <c r="J13" s="230">
        <f t="shared" si="1"/>
        <v>0</v>
      </c>
    </row>
    <row r="14" spans="1:11">
      <c r="A14" s="229" t="str">
        <f>IF(C14&gt;0,基础信息!$B$1,"")</f>
        <v/>
      </c>
      <c r="B14" s="255"/>
      <c r="C14" s="255"/>
      <c r="D14" s="276"/>
      <c r="E14" s="255"/>
      <c r="F14" s="255"/>
      <c r="G14" s="255"/>
      <c r="H14" s="255"/>
      <c r="I14" s="229">
        <f t="shared" si="0"/>
        <v>0</v>
      </c>
      <c r="J14" s="230">
        <f t="shared" si="1"/>
        <v>0</v>
      </c>
    </row>
    <row r="15" spans="1:11">
      <c r="A15" s="229" t="str">
        <f>IF(C15&gt;0,基础信息!$B$1,"")</f>
        <v/>
      </c>
      <c r="B15" s="255"/>
      <c r="C15" s="255"/>
      <c r="D15" s="276"/>
      <c r="E15" s="255"/>
      <c r="F15" s="255"/>
      <c r="G15" s="255"/>
      <c r="H15" s="255"/>
      <c r="I15" s="229">
        <f t="shared" si="0"/>
        <v>0</v>
      </c>
      <c r="J15" s="230">
        <f t="shared" si="1"/>
        <v>0</v>
      </c>
    </row>
    <row r="16" spans="1:11">
      <c r="A16" s="229" t="str">
        <f>IF(C16&gt;0,基础信息!$B$1,"")</f>
        <v/>
      </c>
      <c r="B16" s="255"/>
      <c r="C16" s="255"/>
      <c r="D16" s="276"/>
      <c r="E16" s="255"/>
      <c r="F16" s="255"/>
      <c r="G16" s="255"/>
      <c r="H16" s="255"/>
      <c r="I16" s="229">
        <f t="shared" si="0"/>
        <v>0</v>
      </c>
      <c r="J16" s="230">
        <f t="shared" si="1"/>
        <v>0</v>
      </c>
    </row>
    <row r="17" spans="1:10">
      <c r="A17" s="229" t="str">
        <f>IF(C17&gt;0,基础信息!$B$1,"")</f>
        <v/>
      </c>
      <c r="B17" s="255"/>
      <c r="C17" s="255"/>
      <c r="D17" s="276"/>
      <c r="E17" s="255"/>
      <c r="F17" s="255"/>
      <c r="G17" s="255"/>
      <c r="H17" s="255"/>
      <c r="I17" s="229">
        <f t="shared" si="0"/>
        <v>0</v>
      </c>
      <c r="J17" s="230">
        <f t="shared" si="1"/>
        <v>0</v>
      </c>
    </row>
    <row r="18" spans="1:10">
      <c r="A18" s="229" t="str">
        <f>IF(C18&gt;0,基础信息!$B$1,"")</f>
        <v/>
      </c>
      <c r="B18" s="255"/>
      <c r="C18" s="255"/>
      <c r="D18" s="276"/>
      <c r="E18" s="255"/>
      <c r="F18" s="255"/>
      <c r="G18" s="255"/>
      <c r="H18" s="255"/>
      <c r="I18" s="229">
        <f t="shared" si="0"/>
        <v>0</v>
      </c>
      <c r="J18" s="230">
        <f t="shared" si="1"/>
        <v>0</v>
      </c>
    </row>
    <row r="19" spans="1:10">
      <c r="A19" s="229" t="str">
        <f>IF(C19&gt;0,基础信息!$B$1,"")</f>
        <v/>
      </c>
      <c r="B19" s="255"/>
      <c r="C19" s="255"/>
      <c r="D19" s="276"/>
      <c r="E19" s="255"/>
      <c r="F19" s="255"/>
      <c r="G19" s="255"/>
      <c r="H19" s="255"/>
      <c r="I19" s="229">
        <f t="shared" si="0"/>
        <v>0</v>
      </c>
      <c r="J19" s="230">
        <f t="shared" si="1"/>
        <v>0</v>
      </c>
    </row>
    <row r="20" spans="1:10">
      <c r="A20" s="229" t="str">
        <f>IF(C20&gt;0,基础信息!$B$1,"")</f>
        <v/>
      </c>
      <c r="B20" s="255"/>
      <c r="C20" s="255"/>
      <c r="D20" s="276"/>
      <c r="E20" s="255"/>
      <c r="F20" s="255"/>
      <c r="G20" s="255"/>
      <c r="H20" s="255"/>
      <c r="I20" s="229">
        <f t="shared" si="0"/>
        <v>0</v>
      </c>
      <c r="J20" s="230">
        <f t="shared" si="1"/>
        <v>0</v>
      </c>
    </row>
    <row r="21" spans="1:10">
      <c r="A21" s="229" t="str">
        <f>IF(C21&gt;0,基础信息!$B$1,"")</f>
        <v/>
      </c>
      <c r="B21" s="255"/>
      <c r="C21" s="255"/>
      <c r="D21" s="276"/>
      <c r="E21" s="255"/>
      <c r="F21" s="255"/>
      <c r="G21" s="255"/>
      <c r="H21" s="255"/>
      <c r="I21" s="229">
        <f t="shared" si="0"/>
        <v>0</v>
      </c>
      <c r="J21" s="230">
        <f t="shared" si="1"/>
        <v>0</v>
      </c>
    </row>
    <row r="22" spans="1:10">
      <c r="I22" s="229">
        <f t="shared" ref="I22" si="2">SUM(E22:H22)</f>
        <v>0</v>
      </c>
      <c r="J22" s="230">
        <f t="shared" ref="J22" si="3">C22-I22</f>
        <v>0</v>
      </c>
    </row>
  </sheetData>
  <phoneticPr fontId="1" type="noConversion"/>
  <hyperlinks>
    <hyperlink ref="B1" location="'索引'!A1" tooltip="back索引" display="'" xr:uid="{3AA68AB3-4BF6-42C1-B683-DE7886466AA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1C2BFB-FED2-478C-AF5C-FAC3DB1EF2A5}">
          <x14:formula1>
            <xm:f>分类表!$35:$35</xm:f>
          </x14:formula1>
          <xm:sqref>D2:D21</xm:sqref>
        </x14:dataValidation>
      </x14:dataValidations>
    </ext>
  </extLst>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codeName="Sheet275">
    <tabColor rgb="FFFFC000"/>
  </sheetPr>
  <dimension ref="A1:D5"/>
  <sheetViews>
    <sheetView workbookViewId="0">
      <selection activeCell="G15" sqref="G15"/>
    </sheetView>
  </sheetViews>
  <sheetFormatPr defaultRowHeight="13.8"/>
  <cols>
    <col min="1" max="1" width="8.33203125" style="18" bestFit="1" customWidth="1"/>
    <col min="2" max="3" width="12.88671875" style="18" customWidth="1"/>
    <col min="4" max="16384" width="8.88671875" style="18"/>
  </cols>
  <sheetData>
    <row r="1" spans="1:4" ht="14.4">
      <c r="A1" s="35" t="s">
        <v>28</v>
      </c>
      <c r="B1" s="20" t="s">
        <v>203</v>
      </c>
      <c r="C1" s="20" t="s">
        <v>265</v>
      </c>
    </row>
    <row r="2" spans="1:4">
      <c r="A2" s="282"/>
      <c r="B2" s="264"/>
      <c r="C2" s="278"/>
    </row>
    <row r="3" spans="1:4">
      <c r="A3" s="282"/>
      <c r="B3" s="264"/>
      <c r="C3" s="278"/>
    </row>
    <row r="4" spans="1:4">
      <c r="A4" s="282"/>
      <c r="B4" s="264"/>
      <c r="C4" s="278"/>
    </row>
    <row r="5" spans="1:4" ht="14.4">
      <c r="A5" s="35" t="s">
        <v>204</v>
      </c>
      <c r="B5" s="156">
        <f>ROUND(SUM(B2:B4),2)</f>
        <v>0</v>
      </c>
      <c r="C5" s="156">
        <f>ROUND(SUM(C2:C4),2)</f>
        <v>0</v>
      </c>
      <c r="D5" s="39"/>
    </row>
  </sheetData>
  <phoneticPr fontId="1"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codeName="Sheet276">
    <tabColor rgb="FFFFC000"/>
  </sheetPr>
  <dimension ref="A1:D6"/>
  <sheetViews>
    <sheetView workbookViewId="0">
      <selection activeCell="B6" sqref="B6:C6"/>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28</v>
      </c>
      <c r="B1" s="20" t="s">
        <v>203</v>
      </c>
      <c r="C1" s="20" t="s">
        <v>265</v>
      </c>
    </row>
    <row r="2" spans="1:4" ht="14.4">
      <c r="A2" s="345" t="s">
        <v>535</v>
      </c>
      <c r="B2" s="280"/>
      <c r="C2" s="280"/>
      <c r="D2" s="19"/>
    </row>
    <row r="3" spans="1:4" ht="14.4">
      <c r="A3" s="345" t="s">
        <v>536</v>
      </c>
      <c r="B3" s="280"/>
      <c r="C3" s="280"/>
      <c r="D3" s="19"/>
    </row>
    <row r="4" spans="1:4" ht="14.4">
      <c r="A4" s="345" t="s">
        <v>537</v>
      </c>
      <c r="B4" s="280"/>
      <c r="C4" s="280"/>
      <c r="D4" s="19"/>
    </row>
    <row r="5" spans="1:4" ht="14.4">
      <c r="A5" s="345" t="s">
        <v>2265</v>
      </c>
      <c r="B5" s="280"/>
      <c r="C5" s="280"/>
      <c r="D5" s="19"/>
    </row>
    <row r="6" spans="1:4" ht="14.4">
      <c r="A6" s="19" t="s">
        <v>204</v>
      </c>
      <c r="B6" s="21">
        <f>ROUND(SUM(B2:B5),2)</f>
        <v>0</v>
      </c>
      <c r="C6" s="21">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codeName="Sheet277">
    <tabColor rgb="FFFFC000"/>
  </sheetPr>
  <dimension ref="A1:C6"/>
  <sheetViews>
    <sheetView workbookViewId="0">
      <selection activeCell="K19" sqref="K19:K20"/>
    </sheetView>
  </sheetViews>
  <sheetFormatPr defaultRowHeight="13.8"/>
  <cols>
    <col min="1" max="1" width="20.109375" style="18" customWidth="1"/>
    <col min="2" max="16384" width="8.88671875" style="18"/>
  </cols>
  <sheetData>
    <row r="1" spans="1:3" ht="14.4">
      <c r="A1" s="20" t="s">
        <v>28</v>
      </c>
      <c r="B1" s="20" t="s">
        <v>203</v>
      </c>
      <c r="C1" s="20" t="s">
        <v>265</v>
      </c>
    </row>
    <row r="2" spans="1:3" ht="14.4">
      <c r="A2" s="345" t="s">
        <v>2268</v>
      </c>
      <c r="B2" s="280"/>
      <c r="C2" s="280"/>
    </row>
    <row r="3" spans="1:3" ht="14.4">
      <c r="A3" s="345" t="s">
        <v>2280</v>
      </c>
      <c r="B3" s="280"/>
      <c r="C3" s="280"/>
    </row>
    <row r="4" spans="1:3" ht="14.4">
      <c r="A4" s="345" t="s">
        <v>2279</v>
      </c>
      <c r="B4" s="280"/>
      <c r="C4" s="280"/>
    </row>
    <row r="5" spans="1:3" ht="14.4">
      <c r="A5" s="345" t="s">
        <v>202</v>
      </c>
      <c r="B5" s="280"/>
      <c r="C5" s="280"/>
    </row>
    <row r="6" spans="1:3" ht="14.4">
      <c r="A6" s="20" t="s">
        <v>204</v>
      </c>
      <c r="B6" s="21">
        <f>ROUND(SUM(B2:B5),2)</f>
        <v>0</v>
      </c>
      <c r="C6" s="21">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codeName="Sheet278">
    <tabColor rgb="FFFFC000"/>
  </sheetPr>
  <dimension ref="A1:K4"/>
  <sheetViews>
    <sheetView workbookViewId="0">
      <selection activeCell="G21" sqref="G21"/>
    </sheetView>
  </sheetViews>
  <sheetFormatPr defaultRowHeight="13.8"/>
  <cols>
    <col min="1" max="11" width="16.21875" style="18" customWidth="1"/>
    <col min="12" max="16384" width="8.88671875" style="18"/>
  </cols>
  <sheetData>
    <row r="1" spans="1:11">
      <c r="A1" s="24" t="s">
        <v>538</v>
      </c>
      <c r="B1" s="24" t="s">
        <v>3352</v>
      </c>
      <c r="C1" s="24" t="s">
        <v>539</v>
      </c>
      <c r="D1" s="24" t="s">
        <v>540</v>
      </c>
      <c r="E1" s="24" t="s">
        <v>541</v>
      </c>
      <c r="F1" s="24" t="s">
        <v>265</v>
      </c>
      <c r="G1" s="24" t="s">
        <v>542</v>
      </c>
      <c r="H1" s="24" t="s">
        <v>543</v>
      </c>
      <c r="I1" s="24" t="s">
        <v>544</v>
      </c>
      <c r="J1" s="24" t="s">
        <v>545</v>
      </c>
      <c r="K1" s="24" t="s">
        <v>203</v>
      </c>
    </row>
    <row r="2" spans="1:11">
      <c r="A2" s="319"/>
      <c r="B2" s="309"/>
      <c r="C2" s="319"/>
      <c r="D2" s="319"/>
      <c r="E2" s="309"/>
      <c r="F2" s="309"/>
      <c r="G2" s="309"/>
      <c r="H2" s="309"/>
      <c r="I2" s="309"/>
      <c r="J2" s="309"/>
      <c r="K2" s="320"/>
    </row>
    <row r="3" spans="1:11">
      <c r="A3" s="319"/>
      <c r="B3" s="309"/>
      <c r="C3" s="319"/>
      <c r="D3" s="319"/>
      <c r="E3" s="309"/>
      <c r="F3" s="309"/>
      <c r="G3" s="309"/>
      <c r="H3" s="309"/>
      <c r="I3" s="309"/>
      <c r="J3" s="309"/>
      <c r="K3" s="309"/>
    </row>
    <row r="4" spans="1:11">
      <c r="A4" s="24" t="s">
        <v>262</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codeName="Sheet279">
    <tabColor rgb="FFFFC000"/>
  </sheetPr>
  <dimension ref="A1:C7"/>
  <sheetViews>
    <sheetView workbookViewId="0">
      <selection activeCell="H13" sqref="H13"/>
    </sheetView>
  </sheetViews>
  <sheetFormatPr defaultRowHeight="13.8"/>
  <cols>
    <col min="1" max="16384" width="8.88671875" style="18"/>
  </cols>
  <sheetData>
    <row r="1" spans="1:3" ht="14.4">
      <c r="A1" s="31" t="s">
        <v>28</v>
      </c>
      <c r="B1" s="20" t="s">
        <v>203</v>
      </c>
      <c r="C1" s="20" t="s">
        <v>265</v>
      </c>
    </row>
    <row r="2" spans="1:3" ht="14.4">
      <c r="A2" s="377" t="s">
        <v>490</v>
      </c>
      <c r="B2" s="564">
        <f>ROUND(SUMIF(长期借款明细表!D:D,长期借款!A2,长期借款明细表!U:U)-SUMIF(长期借款明细表!D:D,长期借款!A2,长期借款明细表!V:V),2)</f>
        <v>0</v>
      </c>
      <c r="C2" s="564">
        <f>ROUND(SUMIF(长期借款明细表!D:D,A2,长期借款明细表!L:L)-SUMIF(长期借款明细表!D:D,A2,长期借款明细表!M:M),2)</f>
        <v>0</v>
      </c>
    </row>
    <row r="3" spans="1:3" ht="14.4">
      <c r="A3" s="377" t="s">
        <v>491</v>
      </c>
      <c r="B3" s="564">
        <f>ROUND(SUMIF(长期借款明细表!D:D,长期借款!A3,长期借款明细表!U:U)-SUMIF(长期借款明细表!D:D,长期借款!A3,长期借款明细表!V:V),2)</f>
        <v>0</v>
      </c>
      <c r="C3" s="564">
        <f>ROUND(SUMIF(长期借款明细表!D:D,A3,长期借款明细表!L:L)-SUMIF(长期借款明细表!D:D,A3,长期借款明细表!M:M),2)</f>
        <v>0</v>
      </c>
    </row>
    <row r="4" spans="1:3" ht="14.4">
      <c r="A4" s="377" t="s">
        <v>492</v>
      </c>
      <c r="B4" s="564">
        <f>ROUND(SUMIF(长期借款明细表!D:D,长期借款!A4,长期借款明细表!U:U)-SUMIF(长期借款明细表!D:D,长期借款!A4,长期借款明细表!V:V),2)</f>
        <v>0</v>
      </c>
      <c r="C4" s="564">
        <f>ROUND(SUMIF(长期借款明细表!D:D,A4,长期借款明细表!L:L)-SUMIF(长期借款明细表!D:D,A4,长期借款明细表!M:M),2)</f>
        <v>0</v>
      </c>
    </row>
    <row r="5" spans="1:3" ht="14.4">
      <c r="A5" s="377" t="s">
        <v>493</v>
      </c>
      <c r="B5" s="564">
        <f>ROUND(SUMIF(长期借款明细表!D:D,长期借款!A5,长期借款明细表!U:U)-SUMIF(长期借款明细表!D:D,长期借款!A5,长期借款明细表!V:V),2)</f>
        <v>0</v>
      </c>
      <c r="C5" s="564">
        <f>ROUND(SUMIF(长期借款明细表!D:D,A5,长期借款明细表!L:L)-SUMIF(长期借款明细表!D:D,A5,长期借款明细表!M:M),2)</f>
        <v>0</v>
      </c>
    </row>
    <row r="6" spans="1:3" ht="14.4">
      <c r="A6" s="377"/>
      <c r="B6" s="564">
        <f>ROUND(SUMIF(长期借款明细表!D:D,长期借款!A6,长期借款明细表!U:U)-SUMIF(长期借款明细表!D:D,长期借款!A6,长期借款明细表!V:V),2)</f>
        <v>0</v>
      </c>
      <c r="C6" s="564">
        <f>ROUND(SUMIF(长期借款明细表!D:D,A6,长期借款明细表!L:L)-SUMIF(长期借款明细表!D:D,A6,长期借款明细表!M:M),2)</f>
        <v>0</v>
      </c>
    </row>
    <row r="7" spans="1:3" ht="14.4">
      <c r="A7" s="31" t="s">
        <v>204</v>
      </c>
      <c r="B7" s="631">
        <f>ROUND(SUM(B2:B6),2)</f>
        <v>0</v>
      </c>
      <c r="C7" s="631">
        <f>ROUND(SUM(C2:C6),2)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B71F35-2AF5-404A-99A9-D0D99882D442}">
          <x14:formula1>
            <xm:f>分类表!$32:$32</xm:f>
          </x14:formula1>
          <xm:sqref>A2:A6</xm:sqref>
        </x14:dataValidation>
      </x14:dataValidations>
    </ext>
  </extLst>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1658-E73A-4876-917F-7D26A38D32E6}">
  <sheetPr codeName="Sheet280"/>
  <dimension ref="A1:AF25"/>
  <sheetViews>
    <sheetView workbookViewId="0">
      <selection activeCell="I24" sqref="I24"/>
    </sheetView>
  </sheetViews>
  <sheetFormatPr defaultRowHeight="13.8"/>
  <cols>
    <col min="1" max="1" width="8.88671875" style="229"/>
    <col min="2" max="2" width="10.6640625" style="229" bestFit="1" customWidth="1"/>
    <col min="3" max="3" width="16" style="229" bestFit="1" customWidth="1"/>
    <col min="4" max="4" width="10.6640625" style="229" bestFit="1" customWidth="1"/>
    <col min="5" max="5" width="8.88671875" style="229"/>
    <col min="6" max="6" width="23.44140625" style="229" bestFit="1" customWidth="1"/>
    <col min="7" max="7" width="23.88671875" style="229" bestFit="1" customWidth="1"/>
    <col min="8" max="8" width="10.6640625" style="229" bestFit="1" customWidth="1"/>
    <col min="9" max="9" width="19.44140625" style="229" bestFit="1" customWidth="1"/>
    <col min="10" max="10" width="10.6640625" style="229" bestFit="1" customWidth="1"/>
    <col min="11" max="11" width="8.88671875" style="229"/>
    <col min="12" max="13" width="12.88671875" style="229" bestFit="1" customWidth="1"/>
    <col min="14" max="21" width="8.88671875" style="229"/>
    <col min="22" max="22" width="23.77734375" style="229" bestFit="1" customWidth="1"/>
    <col min="23" max="31" width="8.88671875" style="229"/>
  </cols>
  <sheetData>
    <row r="1" spans="1:32">
      <c r="A1" s="229" t="s">
        <v>2438</v>
      </c>
      <c r="B1" s="229" t="s">
        <v>3660</v>
      </c>
      <c r="C1" s="229" t="s">
        <v>3595</v>
      </c>
      <c r="D1" s="229" t="s">
        <v>3596</v>
      </c>
      <c r="E1" s="229" t="s">
        <v>3661</v>
      </c>
      <c r="F1" s="229" t="s">
        <v>3662</v>
      </c>
      <c r="G1" s="229" t="s">
        <v>3599</v>
      </c>
      <c r="H1" s="229" t="s">
        <v>3600</v>
      </c>
      <c r="I1" s="229" t="s">
        <v>3601</v>
      </c>
      <c r="J1" s="229" t="s">
        <v>3602</v>
      </c>
      <c r="K1" s="229" t="s">
        <v>3603</v>
      </c>
      <c r="L1" s="229" t="s">
        <v>3663</v>
      </c>
      <c r="M1" s="229" t="s">
        <v>3664</v>
      </c>
      <c r="N1" s="229" t="s">
        <v>3665</v>
      </c>
      <c r="O1" s="229" t="s">
        <v>3666</v>
      </c>
      <c r="P1" s="229" t="s">
        <v>3604</v>
      </c>
      <c r="Q1" s="229" t="s">
        <v>545</v>
      </c>
      <c r="R1" s="229" t="s">
        <v>3667</v>
      </c>
      <c r="S1" s="229" t="s">
        <v>3668</v>
      </c>
      <c r="T1" s="229" t="s">
        <v>3669</v>
      </c>
      <c r="U1" s="229" t="s">
        <v>3670</v>
      </c>
      <c r="V1" s="229" t="s">
        <v>3671</v>
      </c>
      <c r="W1" s="229" t="s">
        <v>3672</v>
      </c>
      <c r="X1" s="229" t="s">
        <v>3673</v>
      </c>
      <c r="Y1" s="229" t="s">
        <v>3674</v>
      </c>
      <c r="Z1" s="229" t="s">
        <v>3675</v>
      </c>
      <c r="AA1" s="229" t="s">
        <v>3676</v>
      </c>
      <c r="AB1" s="229" t="s">
        <v>3677</v>
      </c>
      <c r="AC1" s="229" t="s">
        <v>3395</v>
      </c>
      <c r="AD1" s="229" t="s">
        <v>3678</v>
      </c>
      <c r="AE1" s="229" t="s">
        <v>3679</v>
      </c>
      <c r="AF1" t="s">
        <v>438</v>
      </c>
    </row>
    <row r="2" spans="1:32">
      <c r="A2" s="229" t="str">
        <f>IF(OR(L2&gt;0,U2&gt;0),基础信息!$B$1,"")</f>
        <v/>
      </c>
      <c r="B2" s="288"/>
      <c r="C2" s="288"/>
      <c r="D2" s="547"/>
      <c r="E2" s="547"/>
      <c r="F2" s="288"/>
      <c r="G2" s="288"/>
      <c r="H2" s="288"/>
      <c r="I2" s="288"/>
      <c r="J2" s="547"/>
      <c r="K2" s="288"/>
      <c r="L2" s="288"/>
      <c r="M2" s="288"/>
      <c r="N2" s="288"/>
      <c r="O2" s="288"/>
      <c r="P2" s="288"/>
      <c r="Q2" s="288"/>
      <c r="R2" s="288"/>
      <c r="S2" s="288"/>
      <c r="T2" s="288"/>
      <c r="U2" s="229">
        <f>L2+N2+P2-Q2-S2-T2</f>
        <v>0</v>
      </c>
      <c r="V2" s="288"/>
      <c r="W2" s="288"/>
      <c r="X2" s="288"/>
      <c r="Y2" s="288"/>
      <c r="Z2" s="288"/>
      <c r="AA2" s="288"/>
      <c r="AB2" s="229">
        <f>SUM(V2:AA2)-U2</f>
        <v>0</v>
      </c>
      <c r="AC2" s="288"/>
      <c r="AD2" s="288"/>
      <c r="AE2" s="288"/>
    </row>
    <row r="3" spans="1:32">
      <c r="A3" s="229" t="str">
        <f>IF(OR(L3&gt;0,U3&gt;0),基础信息!$B$1,"")</f>
        <v/>
      </c>
      <c r="B3" s="288"/>
      <c r="C3" s="288"/>
      <c r="D3" s="547"/>
      <c r="E3" s="547"/>
      <c r="F3" s="288"/>
      <c r="G3" s="288"/>
      <c r="H3" s="288"/>
      <c r="I3" s="288"/>
      <c r="J3" s="547"/>
      <c r="K3" s="288"/>
      <c r="L3" s="288"/>
      <c r="M3" s="288"/>
      <c r="N3" s="288"/>
      <c r="O3" s="288"/>
      <c r="P3" s="288"/>
      <c r="Q3" s="288"/>
      <c r="R3" s="288"/>
      <c r="S3" s="288"/>
      <c r="T3" s="288"/>
      <c r="U3" s="229">
        <f t="shared" ref="U3:U23" si="0">L3+N3+P3-Q3-S3-T3</f>
        <v>0</v>
      </c>
      <c r="V3" s="288"/>
      <c r="W3" s="288"/>
      <c r="X3" s="288"/>
      <c r="Y3" s="288"/>
      <c r="Z3" s="288"/>
      <c r="AA3" s="288"/>
      <c r="AB3" s="229">
        <f t="shared" ref="AB3:AB23" si="1">SUM(V3:AA3)-U3</f>
        <v>0</v>
      </c>
      <c r="AC3" s="288"/>
      <c r="AD3" s="288"/>
      <c r="AE3" s="288"/>
    </row>
    <row r="4" spans="1:32">
      <c r="A4" s="229" t="str">
        <f>IF(OR(L4&gt;0,U4&gt;0),基础信息!$B$1,"")</f>
        <v/>
      </c>
      <c r="B4" s="288"/>
      <c r="C4" s="288"/>
      <c r="D4" s="547"/>
      <c r="E4" s="547"/>
      <c r="F4" s="288"/>
      <c r="G4" s="288"/>
      <c r="H4" s="288"/>
      <c r="I4" s="288"/>
      <c r="J4" s="547"/>
      <c r="K4" s="288"/>
      <c r="L4" s="288"/>
      <c r="M4" s="288"/>
      <c r="N4" s="288"/>
      <c r="O4" s="288"/>
      <c r="P4" s="288"/>
      <c r="Q4" s="288"/>
      <c r="R4" s="288"/>
      <c r="S4" s="288"/>
      <c r="T4" s="288"/>
      <c r="U4" s="229">
        <f t="shared" si="0"/>
        <v>0</v>
      </c>
      <c r="V4" s="288"/>
      <c r="W4" s="288"/>
      <c r="X4" s="288"/>
      <c r="Y4" s="288"/>
      <c r="Z4" s="288"/>
      <c r="AA4" s="288"/>
      <c r="AB4" s="229">
        <f t="shared" si="1"/>
        <v>0</v>
      </c>
      <c r="AC4" s="288"/>
      <c r="AD4" s="288"/>
      <c r="AE4" s="288"/>
    </row>
    <row r="5" spans="1:32">
      <c r="A5" s="229" t="str">
        <f>IF(OR(L5&gt;0,U5&gt;0),基础信息!$B$1,"")</f>
        <v/>
      </c>
      <c r="B5" s="288"/>
      <c r="C5" s="288"/>
      <c r="D5" s="547"/>
      <c r="E5" s="547"/>
      <c r="F5" s="288"/>
      <c r="G5" s="288"/>
      <c r="H5" s="288"/>
      <c r="I5" s="288"/>
      <c r="J5" s="547"/>
      <c r="K5" s="288"/>
      <c r="L5" s="288"/>
      <c r="M5" s="288"/>
      <c r="N5" s="288"/>
      <c r="O5" s="288"/>
      <c r="P5" s="288"/>
      <c r="Q5" s="288"/>
      <c r="R5" s="288"/>
      <c r="S5" s="288"/>
      <c r="T5" s="288"/>
      <c r="U5" s="229">
        <f t="shared" si="0"/>
        <v>0</v>
      </c>
      <c r="V5" s="288"/>
      <c r="W5" s="288"/>
      <c r="X5" s="288"/>
      <c r="Y5" s="288"/>
      <c r="Z5" s="288"/>
      <c r="AA5" s="288"/>
      <c r="AB5" s="229">
        <f t="shared" si="1"/>
        <v>0</v>
      </c>
      <c r="AC5" s="288"/>
      <c r="AD5" s="288"/>
      <c r="AE5" s="288"/>
    </row>
    <row r="6" spans="1:32">
      <c r="A6" s="229" t="str">
        <f>IF(OR(L6&gt;0,U6&gt;0),基础信息!$B$1,"")</f>
        <v/>
      </c>
      <c r="B6" s="288"/>
      <c r="C6" s="288"/>
      <c r="D6" s="547"/>
      <c r="E6" s="547"/>
      <c r="F6" s="288"/>
      <c r="G6" s="288"/>
      <c r="H6" s="288"/>
      <c r="I6" s="288"/>
      <c r="J6" s="547"/>
      <c r="K6" s="288"/>
      <c r="L6" s="288"/>
      <c r="M6" s="288"/>
      <c r="N6" s="288"/>
      <c r="O6" s="288"/>
      <c r="P6" s="288"/>
      <c r="Q6" s="288"/>
      <c r="R6" s="288"/>
      <c r="S6" s="288"/>
      <c r="T6" s="288"/>
      <c r="U6" s="229">
        <f t="shared" si="0"/>
        <v>0</v>
      </c>
      <c r="V6" s="288"/>
      <c r="W6" s="288"/>
      <c r="X6" s="288"/>
      <c r="Y6" s="288"/>
      <c r="Z6" s="288"/>
      <c r="AA6" s="288"/>
      <c r="AB6" s="229">
        <f t="shared" si="1"/>
        <v>0</v>
      </c>
      <c r="AC6" s="288"/>
      <c r="AD6" s="288"/>
      <c r="AE6" s="288"/>
    </row>
    <row r="7" spans="1:32">
      <c r="A7" s="229" t="str">
        <f>IF(OR(L7&gt;0,U7&gt;0),基础信息!$B$1,"")</f>
        <v/>
      </c>
      <c r="B7" s="288"/>
      <c r="C7" s="288"/>
      <c r="D7" s="547"/>
      <c r="E7" s="547"/>
      <c r="F7" s="288"/>
      <c r="G7" s="288"/>
      <c r="H7" s="288"/>
      <c r="I7" s="288"/>
      <c r="J7" s="547"/>
      <c r="K7" s="288"/>
      <c r="L7" s="288"/>
      <c r="M7" s="288"/>
      <c r="N7" s="288"/>
      <c r="O7" s="288"/>
      <c r="P7" s="288"/>
      <c r="Q7" s="288"/>
      <c r="R7" s="288"/>
      <c r="S7" s="288"/>
      <c r="T7" s="288"/>
      <c r="U7" s="229">
        <f t="shared" si="0"/>
        <v>0</v>
      </c>
      <c r="V7" s="288"/>
      <c r="W7" s="288"/>
      <c r="X7" s="288"/>
      <c r="Y7" s="288"/>
      <c r="Z7" s="288"/>
      <c r="AA7" s="288"/>
      <c r="AB7" s="229">
        <f t="shared" si="1"/>
        <v>0</v>
      </c>
      <c r="AC7" s="288"/>
      <c r="AD7" s="288"/>
      <c r="AE7" s="288"/>
    </row>
    <row r="8" spans="1:32">
      <c r="A8" s="229" t="str">
        <f>IF(OR(L8&gt;0,U8&gt;0),基础信息!$B$1,"")</f>
        <v/>
      </c>
      <c r="B8" s="288"/>
      <c r="C8" s="288"/>
      <c r="D8" s="547"/>
      <c r="E8" s="547"/>
      <c r="F8" s="288"/>
      <c r="G8" s="288"/>
      <c r="H8" s="288"/>
      <c r="I8" s="288"/>
      <c r="J8" s="547"/>
      <c r="K8" s="288"/>
      <c r="L8" s="288"/>
      <c r="M8" s="288"/>
      <c r="N8" s="288"/>
      <c r="O8" s="288"/>
      <c r="P8" s="288"/>
      <c r="Q8" s="288"/>
      <c r="R8" s="288"/>
      <c r="S8" s="288"/>
      <c r="T8" s="288"/>
      <c r="U8" s="229">
        <f t="shared" si="0"/>
        <v>0</v>
      </c>
      <c r="V8" s="288"/>
      <c r="W8" s="288"/>
      <c r="X8" s="288"/>
      <c r="Y8" s="288"/>
      <c r="Z8" s="288"/>
      <c r="AA8" s="288"/>
      <c r="AB8" s="229">
        <f t="shared" si="1"/>
        <v>0</v>
      </c>
      <c r="AC8" s="288"/>
      <c r="AD8" s="288"/>
      <c r="AE8" s="288"/>
    </row>
    <row r="9" spans="1:32">
      <c r="A9" s="229" t="str">
        <f>IF(OR(L9&gt;0,U9&gt;0),基础信息!$B$1,"")</f>
        <v/>
      </c>
      <c r="B9" s="288"/>
      <c r="C9" s="288"/>
      <c r="D9" s="547"/>
      <c r="E9" s="547"/>
      <c r="F9" s="288"/>
      <c r="G9" s="288"/>
      <c r="H9" s="288"/>
      <c r="I9" s="288"/>
      <c r="J9" s="547"/>
      <c r="K9" s="288"/>
      <c r="L9" s="288"/>
      <c r="M9" s="288"/>
      <c r="N9" s="288"/>
      <c r="O9" s="288"/>
      <c r="P9" s="288"/>
      <c r="Q9" s="288"/>
      <c r="R9" s="288"/>
      <c r="S9" s="288"/>
      <c r="T9" s="288"/>
      <c r="U9" s="229">
        <f t="shared" si="0"/>
        <v>0</v>
      </c>
      <c r="V9" s="288"/>
      <c r="W9" s="288"/>
      <c r="X9" s="288"/>
      <c r="Y9" s="288"/>
      <c r="Z9" s="288"/>
      <c r="AA9" s="288"/>
      <c r="AB9" s="229">
        <f t="shared" si="1"/>
        <v>0</v>
      </c>
      <c r="AC9" s="288"/>
      <c r="AD9" s="288"/>
      <c r="AE9" s="288"/>
    </row>
    <row r="10" spans="1:32">
      <c r="A10" s="229" t="str">
        <f>IF(OR(L10&gt;0,U10&gt;0),基础信息!$B$1,"")</f>
        <v/>
      </c>
      <c r="B10" s="288"/>
      <c r="C10" s="288"/>
      <c r="D10" s="547"/>
      <c r="E10" s="547"/>
      <c r="F10" s="288"/>
      <c r="G10" s="288"/>
      <c r="H10" s="288"/>
      <c r="I10" s="288"/>
      <c r="J10" s="547"/>
      <c r="K10" s="288"/>
      <c r="L10" s="288"/>
      <c r="M10" s="288"/>
      <c r="N10" s="288"/>
      <c r="O10" s="288"/>
      <c r="P10" s="288"/>
      <c r="Q10" s="288"/>
      <c r="R10" s="288"/>
      <c r="S10" s="288"/>
      <c r="T10" s="288"/>
      <c r="U10" s="229">
        <f t="shared" si="0"/>
        <v>0</v>
      </c>
      <c r="V10" s="288"/>
      <c r="W10" s="288"/>
      <c r="X10" s="288"/>
      <c r="Y10" s="288"/>
      <c r="Z10" s="288"/>
      <c r="AA10" s="288"/>
      <c r="AB10" s="229">
        <f t="shared" si="1"/>
        <v>0</v>
      </c>
      <c r="AC10" s="288"/>
      <c r="AD10" s="288"/>
      <c r="AE10" s="288"/>
    </row>
    <row r="11" spans="1:32">
      <c r="A11" s="229" t="str">
        <f>IF(OR(L11&gt;0,U11&gt;0),基础信息!$B$1,"")</f>
        <v/>
      </c>
      <c r="B11" s="288"/>
      <c r="C11" s="288"/>
      <c r="D11" s="547"/>
      <c r="E11" s="547"/>
      <c r="F11" s="288"/>
      <c r="G11" s="288"/>
      <c r="H11" s="288"/>
      <c r="I11" s="288"/>
      <c r="J11" s="547"/>
      <c r="K11" s="288"/>
      <c r="L11" s="288"/>
      <c r="M11" s="288"/>
      <c r="N11" s="288"/>
      <c r="O11" s="288"/>
      <c r="P11" s="288"/>
      <c r="Q11" s="288"/>
      <c r="R11" s="288"/>
      <c r="S11" s="288"/>
      <c r="T11" s="288"/>
      <c r="U11" s="229">
        <f t="shared" si="0"/>
        <v>0</v>
      </c>
      <c r="V11" s="288"/>
      <c r="W11" s="288"/>
      <c r="X11" s="288"/>
      <c r="Y11" s="288"/>
      <c r="Z11" s="288"/>
      <c r="AA11" s="288"/>
      <c r="AB11" s="229">
        <f t="shared" si="1"/>
        <v>0</v>
      </c>
      <c r="AC11" s="288"/>
      <c r="AD11" s="288"/>
      <c r="AE11" s="288"/>
    </row>
    <row r="12" spans="1:32">
      <c r="A12" s="229" t="str">
        <f>IF(OR(L12&gt;0,U12&gt;0),基础信息!$B$1,"")</f>
        <v/>
      </c>
      <c r="B12" s="288"/>
      <c r="C12" s="288"/>
      <c r="D12" s="547"/>
      <c r="E12" s="547"/>
      <c r="F12" s="288"/>
      <c r="G12" s="288"/>
      <c r="H12" s="288"/>
      <c r="I12" s="288"/>
      <c r="J12" s="547"/>
      <c r="K12" s="288"/>
      <c r="L12" s="288"/>
      <c r="M12" s="288"/>
      <c r="N12" s="288"/>
      <c r="O12" s="288"/>
      <c r="P12" s="288"/>
      <c r="Q12" s="288"/>
      <c r="R12" s="288"/>
      <c r="S12" s="288"/>
      <c r="T12" s="288"/>
      <c r="U12" s="229">
        <f t="shared" si="0"/>
        <v>0</v>
      </c>
      <c r="V12" s="288"/>
      <c r="W12" s="288"/>
      <c r="X12" s="288"/>
      <c r="Y12" s="288"/>
      <c r="Z12" s="288"/>
      <c r="AA12" s="288"/>
      <c r="AB12" s="229">
        <f t="shared" si="1"/>
        <v>0</v>
      </c>
      <c r="AC12" s="288"/>
      <c r="AD12" s="288"/>
      <c r="AE12" s="288"/>
    </row>
    <row r="13" spans="1:32">
      <c r="A13" s="229" t="str">
        <f>IF(OR(L13&gt;0,U13&gt;0),基础信息!$B$1,"")</f>
        <v/>
      </c>
      <c r="B13" s="288"/>
      <c r="C13" s="288"/>
      <c r="D13" s="547"/>
      <c r="E13" s="547"/>
      <c r="F13" s="288"/>
      <c r="G13" s="288"/>
      <c r="H13" s="288"/>
      <c r="I13" s="288"/>
      <c r="J13" s="547"/>
      <c r="K13" s="288"/>
      <c r="L13" s="288"/>
      <c r="M13" s="288"/>
      <c r="N13" s="288"/>
      <c r="O13" s="288"/>
      <c r="P13" s="288"/>
      <c r="Q13" s="288"/>
      <c r="R13" s="288"/>
      <c r="S13" s="288"/>
      <c r="T13" s="288"/>
      <c r="U13" s="229">
        <f t="shared" si="0"/>
        <v>0</v>
      </c>
      <c r="V13" s="288"/>
      <c r="W13" s="288"/>
      <c r="X13" s="288"/>
      <c r="Y13" s="288"/>
      <c r="Z13" s="288"/>
      <c r="AA13" s="288"/>
      <c r="AB13" s="229">
        <f t="shared" si="1"/>
        <v>0</v>
      </c>
      <c r="AC13" s="288"/>
      <c r="AD13" s="288"/>
      <c r="AE13" s="288"/>
    </row>
    <row r="14" spans="1:32">
      <c r="A14" s="229" t="str">
        <f>IF(OR(L14&gt;0,U14&gt;0),基础信息!$B$1,"")</f>
        <v/>
      </c>
      <c r="B14" s="288"/>
      <c r="C14" s="288"/>
      <c r="D14" s="547"/>
      <c r="E14" s="547"/>
      <c r="F14" s="288"/>
      <c r="G14" s="288"/>
      <c r="H14" s="288"/>
      <c r="I14" s="288"/>
      <c r="J14" s="547"/>
      <c r="K14" s="288"/>
      <c r="L14" s="288"/>
      <c r="M14" s="288"/>
      <c r="N14" s="288"/>
      <c r="O14" s="288"/>
      <c r="P14" s="288"/>
      <c r="Q14" s="288"/>
      <c r="R14" s="288"/>
      <c r="S14" s="288"/>
      <c r="T14" s="288"/>
      <c r="U14" s="229">
        <f t="shared" si="0"/>
        <v>0</v>
      </c>
      <c r="V14" s="288"/>
      <c r="W14" s="288"/>
      <c r="X14" s="288"/>
      <c r="Y14" s="288"/>
      <c r="Z14" s="288"/>
      <c r="AA14" s="288"/>
      <c r="AB14" s="229">
        <f t="shared" si="1"/>
        <v>0</v>
      </c>
      <c r="AC14" s="288"/>
      <c r="AD14" s="288"/>
      <c r="AE14" s="288"/>
    </row>
    <row r="15" spans="1:32">
      <c r="A15" s="229" t="str">
        <f>IF(OR(L15&gt;0,U15&gt;0),基础信息!$B$1,"")</f>
        <v/>
      </c>
      <c r="B15" s="288"/>
      <c r="C15" s="288"/>
      <c r="D15" s="547"/>
      <c r="E15" s="547"/>
      <c r="F15" s="288"/>
      <c r="G15" s="288"/>
      <c r="H15" s="288"/>
      <c r="I15" s="288"/>
      <c r="J15" s="547"/>
      <c r="K15" s="288"/>
      <c r="L15" s="288"/>
      <c r="M15" s="288"/>
      <c r="N15" s="288"/>
      <c r="O15" s="288"/>
      <c r="P15" s="288"/>
      <c r="Q15" s="288"/>
      <c r="R15" s="288"/>
      <c r="S15" s="288"/>
      <c r="T15" s="288"/>
      <c r="U15" s="229">
        <f t="shared" si="0"/>
        <v>0</v>
      </c>
      <c r="V15" s="288"/>
      <c r="W15" s="288"/>
      <c r="X15" s="288"/>
      <c r="Y15" s="288"/>
      <c r="Z15" s="288"/>
      <c r="AA15" s="288"/>
      <c r="AB15" s="229">
        <f t="shared" si="1"/>
        <v>0</v>
      </c>
      <c r="AC15" s="288"/>
      <c r="AD15" s="288"/>
      <c r="AE15" s="288"/>
    </row>
    <row r="16" spans="1:32">
      <c r="A16" s="229" t="str">
        <f>IF(OR(L16&gt;0,U16&gt;0),基础信息!$B$1,"")</f>
        <v/>
      </c>
      <c r="B16" s="288"/>
      <c r="C16" s="288"/>
      <c r="D16" s="547"/>
      <c r="E16" s="547"/>
      <c r="F16" s="288"/>
      <c r="G16" s="288"/>
      <c r="H16" s="288"/>
      <c r="I16" s="288"/>
      <c r="J16" s="547"/>
      <c r="K16" s="288"/>
      <c r="L16" s="288"/>
      <c r="M16" s="288"/>
      <c r="N16" s="288"/>
      <c r="O16" s="288"/>
      <c r="P16" s="288"/>
      <c r="Q16" s="288"/>
      <c r="R16" s="288"/>
      <c r="S16" s="288"/>
      <c r="T16" s="288"/>
      <c r="U16" s="229">
        <f t="shared" si="0"/>
        <v>0</v>
      </c>
      <c r="V16" s="288"/>
      <c r="W16" s="288"/>
      <c r="X16" s="288"/>
      <c r="Y16" s="288"/>
      <c r="Z16" s="288"/>
      <c r="AA16" s="288"/>
      <c r="AB16" s="229">
        <f t="shared" si="1"/>
        <v>0</v>
      </c>
      <c r="AC16" s="288"/>
      <c r="AD16" s="288"/>
      <c r="AE16" s="288"/>
    </row>
    <row r="17" spans="1:31">
      <c r="A17" s="229" t="str">
        <f>IF(OR(L17&gt;0,U17&gt;0),基础信息!$B$1,"")</f>
        <v/>
      </c>
      <c r="B17" s="288"/>
      <c r="C17" s="288"/>
      <c r="D17" s="547"/>
      <c r="E17" s="547"/>
      <c r="F17" s="288"/>
      <c r="G17" s="288"/>
      <c r="H17" s="288"/>
      <c r="I17" s="288"/>
      <c r="J17" s="547"/>
      <c r="K17" s="288"/>
      <c r="L17" s="288"/>
      <c r="M17" s="288"/>
      <c r="N17" s="288"/>
      <c r="O17" s="288"/>
      <c r="P17" s="288"/>
      <c r="Q17" s="288"/>
      <c r="R17" s="288"/>
      <c r="S17" s="288"/>
      <c r="T17" s="288"/>
      <c r="U17" s="229">
        <f t="shared" si="0"/>
        <v>0</v>
      </c>
      <c r="V17" s="288"/>
      <c r="W17" s="288"/>
      <c r="X17" s="288"/>
      <c r="Y17" s="288"/>
      <c r="Z17" s="288"/>
      <c r="AA17" s="288"/>
      <c r="AB17" s="229">
        <f t="shared" si="1"/>
        <v>0</v>
      </c>
      <c r="AC17" s="288"/>
      <c r="AD17" s="288"/>
      <c r="AE17" s="288"/>
    </row>
    <row r="18" spans="1:31">
      <c r="A18" s="229" t="str">
        <f>IF(OR(L18&gt;0,U18&gt;0),基础信息!$B$1,"")</f>
        <v/>
      </c>
      <c r="B18" s="288"/>
      <c r="C18" s="288"/>
      <c r="D18" s="547"/>
      <c r="E18" s="547"/>
      <c r="F18" s="288"/>
      <c r="G18" s="288"/>
      <c r="H18" s="288"/>
      <c r="I18" s="288"/>
      <c r="J18" s="547"/>
      <c r="K18" s="288"/>
      <c r="L18" s="288"/>
      <c r="M18" s="288"/>
      <c r="N18" s="288"/>
      <c r="O18" s="288"/>
      <c r="P18" s="288"/>
      <c r="Q18" s="288"/>
      <c r="R18" s="288"/>
      <c r="S18" s="288"/>
      <c r="T18" s="288"/>
      <c r="U18" s="229">
        <f t="shared" si="0"/>
        <v>0</v>
      </c>
      <c r="V18" s="288"/>
      <c r="W18" s="288"/>
      <c r="X18" s="288"/>
      <c r="Y18" s="288"/>
      <c r="Z18" s="288"/>
      <c r="AA18" s="288"/>
      <c r="AB18" s="229">
        <f t="shared" si="1"/>
        <v>0</v>
      </c>
      <c r="AC18" s="288"/>
      <c r="AD18" s="288"/>
      <c r="AE18" s="288"/>
    </row>
    <row r="19" spans="1:31">
      <c r="A19" s="229" t="str">
        <f>IF(OR(L19&gt;0,U19&gt;0),基础信息!$B$1,"")</f>
        <v/>
      </c>
      <c r="B19" s="288"/>
      <c r="C19" s="288"/>
      <c r="D19" s="547"/>
      <c r="E19" s="547"/>
      <c r="F19" s="288"/>
      <c r="G19" s="288"/>
      <c r="H19" s="288"/>
      <c r="I19" s="288"/>
      <c r="J19" s="547"/>
      <c r="K19" s="288"/>
      <c r="L19" s="288"/>
      <c r="M19" s="288"/>
      <c r="N19" s="288"/>
      <c r="O19" s="288"/>
      <c r="P19" s="288"/>
      <c r="Q19" s="288"/>
      <c r="R19" s="288"/>
      <c r="S19" s="288"/>
      <c r="T19" s="288"/>
      <c r="U19" s="229">
        <f t="shared" si="0"/>
        <v>0</v>
      </c>
      <c r="V19" s="288"/>
      <c r="W19" s="288"/>
      <c r="X19" s="288"/>
      <c r="Y19" s="288"/>
      <c r="Z19" s="288"/>
      <c r="AA19" s="288"/>
      <c r="AB19" s="229">
        <f t="shared" si="1"/>
        <v>0</v>
      </c>
      <c r="AC19" s="288"/>
      <c r="AD19" s="288"/>
      <c r="AE19" s="288"/>
    </row>
    <row r="20" spans="1:31">
      <c r="A20" s="229" t="str">
        <f>IF(OR(L20&gt;0,U20&gt;0),基础信息!$B$1,"")</f>
        <v/>
      </c>
      <c r="B20" s="288"/>
      <c r="C20" s="288"/>
      <c r="D20" s="547"/>
      <c r="E20" s="547"/>
      <c r="F20" s="288"/>
      <c r="G20" s="288"/>
      <c r="H20" s="288"/>
      <c r="I20" s="288"/>
      <c r="J20" s="547"/>
      <c r="K20" s="288"/>
      <c r="L20" s="288"/>
      <c r="M20" s="288"/>
      <c r="N20" s="288"/>
      <c r="O20" s="288"/>
      <c r="P20" s="288"/>
      <c r="Q20" s="288"/>
      <c r="R20" s="288"/>
      <c r="S20" s="288"/>
      <c r="T20" s="288"/>
      <c r="U20" s="229">
        <f t="shared" si="0"/>
        <v>0</v>
      </c>
      <c r="V20" s="288"/>
      <c r="W20" s="288"/>
      <c r="X20" s="288"/>
      <c r="Y20" s="288"/>
      <c r="Z20" s="288"/>
      <c r="AA20" s="288"/>
      <c r="AB20" s="229">
        <f t="shared" si="1"/>
        <v>0</v>
      </c>
      <c r="AC20" s="288"/>
      <c r="AD20" s="288"/>
      <c r="AE20" s="288"/>
    </row>
    <row r="21" spans="1:31">
      <c r="A21" s="229" t="str">
        <f>IF(OR(L21&gt;0,U21&gt;0),基础信息!$B$1,"")</f>
        <v/>
      </c>
      <c r="B21" s="288"/>
      <c r="C21" s="288"/>
      <c r="D21" s="547"/>
      <c r="E21" s="547"/>
      <c r="F21" s="288"/>
      <c r="G21" s="288"/>
      <c r="H21" s="288"/>
      <c r="I21" s="288"/>
      <c r="J21" s="547"/>
      <c r="K21" s="288"/>
      <c r="L21" s="288"/>
      <c r="M21" s="288"/>
      <c r="N21" s="288"/>
      <c r="O21" s="288"/>
      <c r="P21" s="288"/>
      <c r="Q21" s="288"/>
      <c r="R21" s="288"/>
      <c r="S21" s="288"/>
      <c r="T21" s="288"/>
      <c r="U21" s="229">
        <f t="shared" si="0"/>
        <v>0</v>
      </c>
      <c r="V21" s="288"/>
      <c r="W21" s="288"/>
      <c r="X21" s="288"/>
      <c r="Y21" s="288"/>
      <c r="Z21" s="288"/>
      <c r="AA21" s="288"/>
      <c r="AB21" s="229">
        <f t="shared" si="1"/>
        <v>0</v>
      </c>
      <c r="AC21" s="288"/>
      <c r="AD21" s="288"/>
      <c r="AE21" s="288"/>
    </row>
    <row r="22" spans="1:31">
      <c r="A22" s="229" t="str">
        <f>IF(OR(L22&gt;0,U22&gt;0),基础信息!$B$1,"")</f>
        <v/>
      </c>
      <c r="B22" s="288"/>
      <c r="C22" s="288"/>
      <c r="D22" s="547"/>
      <c r="E22" s="547"/>
      <c r="F22" s="288"/>
      <c r="G22" s="288"/>
      <c r="H22" s="288"/>
      <c r="I22" s="288"/>
      <c r="J22" s="547"/>
      <c r="K22" s="288"/>
      <c r="L22" s="288"/>
      <c r="M22" s="288"/>
      <c r="N22" s="288"/>
      <c r="O22" s="288"/>
      <c r="P22" s="288"/>
      <c r="Q22" s="288"/>
      <c r="R22" s="288"/>
      <c r="S22" s="288"/>
      <c r="T22" s="288"/>
      <c r="U22" s="229">
        <f t="shared" si="0"/>
        <v>0</v>
      </c>
      <c r="V22" s="288"/>
      <c r="W22" s="288"/>
      <c r="X22" s="288"/>
      <c r="Y22" s="288"/>
      <c r="Z22" s="288"/>
      <c r="AA22" s="288"/>
      <c r="AB22" s="229">
        <f t="shared" si="1"/>
        <v>0</v>
      </c>
      <c r="AC22" s="288"/>
      <c r="AD22" s="288"/>
      <c r="AE22" s="288"/>
    </row>
    <row r="23" spans="1:31">
      <c r="A23" s="229" t="str">
        <f>IF(OR(L23&gt;0,U23&gt;0),基础信息!$B$1,"")</f>
        <v/>
      </c>
      <c r="B23" s="288"/>
      <c r="C23" s="288"/>
      <c r="D23" s="547"/>
      <c r="E23" s="547"/>
      <c r="F23" s="288"/>
      <c r="G23" s="288"/>
      <c r="H23" s="288"/>
      <c r="I23" s="288"/>
      <c r="J23" s="547"/>
      <c r="K23" s="288"/>
      <c r="L23" s="288"/>
      <c r="M23" s="288"/>
      <c r="N23" s="288"/>
      <c r="O23" s="288"/>
      <c r="P23" s="288"/>
      <c r="Q23" s="288"/>
      <c r="R23" s="288"/>
      <c r="S23" s="288"/>
      <c r="T23" s="288"/>
      <c r="U23" s="229">
        <f t="shared" si="0"/>
        <v>0</v>
      </c>
      <c r="V23" s="288"/>
      <c r="W23" s="288"/>
      <c r="X23" s="288"/>
      <c r="Y23" s="288"/>
      <c r="Z23" s="288"/>
      <c r="AA23" s="288"/>
      <c r="AB23" s="229">
        <f t="shared" si="1"/>
        <v>0</v>
      </c>
      <c r="AC23" s="288"/>
      <c r="AD23" s="288"/>
      <c r="AE23" s="288"/>
    </row>
    <row r="24" spans="1:31">
      <c r="J24" s="547"/>
    </row>
    <row r="25" spans="1:31">
      <c r="J25" s="54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20B05C-039C-41C3-BBDD-2AAE2E3AF5A5}">
          <x14:formula1>
            <xm:f>分类表!$32:$32</xm:f>
          </x14:formula1>
          <xm:sqref>D2:D23</xm:sqref>
        </x14:dataValidation>
        <x14:dataValidation type="list" allowBlank="1" showInputMessage="1" showErrorMessage="1" xr:uid="{C5624990-0F2F-4926-8A40-6A9C08C2FFA5}">
          <x14:formula1>
            <xm:f>分类表!$2:$2</xm:f>
          </x14:formula1>
          <xm:sqref>E2:E23</xm:sqref>
        </x14:dataValidation>
        <x14:dataValidation type="list" allowBlank="1" showInputMessage="1" showErrorMessage="1" xr:uid="{44CCE820-3412-40FC-9C1B-6C3CB1A791B0}">
          <x14:formula1>
            <xm:f>分类表!$33:$33</xm:f>
          </x14:formula1>
          <xm:sqref>J2:J25</xm:sqref>
        </x14:dataValidation>
      </x14:dataValidations>
    </ext>
  </extLst>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codeName="Sheet281">
    <tabColor rgb="FFFFC000"/>
  </sheetPr>
  <dimension ref="A1:C7"/>
  <sheetViews>
    <sheetView workbookViewId="0">
      <selection activeCell="B4" sqref="B4"/>
    </sheetView>
  </sheetViews>
  <sheetFormatPr defaultRowHeight="13.8"/>
  <cols>
    <col min="1" max="16384" width="8.88671875" style="18"/>
  </cols>
  <sheetData>
    <row r="1" spans="1:3" ht="14.4">
      <c r="A1" s="31" t="s">
        <v>28</v>
      </c>
      <c r="B1" s="20" t="s">
        <v>203</v>
      </c>
      <c r="C1" s="20" t="s">
        <v>265</v>
      </c>
    </row>
    <row r="2" spans="1:3" ht="14.4">
      <c r="A2" s="614">
        <f>应付债券明细表!B2</f>
        <v>0</v>
      </c>
      <c r="B2" s="564">
        <f>应付债券明细表!AJ2-应付债券明细表!AL2</f>
        <v>0</v>
      </c>
      <c r="C2" s="564">
        <f>应付债券明细表!AE2-应付债券明细表!AK2</f>
        <v>0</v>
      </c>
    </row>
    <row r="3" spans="1:3" ht="14.4">
      <c r="A3" s="614">
        <f>应付债券明细表!B3</f>
        <v>0</v>
      </c>
      <c r="B3" s="564">
        <f>应付债券明细表!AJ3-应付债券明细表!AL3</f>
        <v>0</v>
      </c>
      <c r="C3" s="564">
        <f>应付债券明细表!AE3-应付债券明细表!AK3</f>
        <v>0</v>
      </c>
    </row>
    <row r="4" spans="1:3" ht="14.4">
      <c r="A4" s="614">
        <f>应付债券明细表!B4</f>
        <v>0</v>
      </c>
      <c r="B4" s="564">
        <f>应付债券明细表!AJ4-应付债券明细表!AL4</f>
        <v>0</v>
      </c>
      <c r="C4" s="564">
        <f>应付债券明细表!AE4-应付债券明细表!AK4</f>
        <v>0</v>
      </c>
    </row>
    <row r="5" spans="1:3" ht="14.4">
      <c r="A5" s="614">
        <f>应付债券明细表!B5</f>
        <v>0</v>
      </c>
      <c r="B5" s="564">
        <f>应付债券明细表!AJ5-应付债券明细表!AL5</f>
        <v>0</v>
      </c>
      <c r="C5" s="564">
        <f>应付债券明细表!AE5-应付债券明细表!AK5</f>
        <v>0</v>
      </c>
    </row>
    <row r="6" spans="1:3" ht="14.4">
      <c r="A6" s="614">
        <f>应付债券明细表!B6</f>
        <v>0</v>
      </c>
      <c r="B6" s="564">
        <f>应付债券明细表!AJ6-应付债券明细表!AL6</f>
        <v>0</v>
      </c>
      <c r="C6" s="564">
        <f>应付债券明细表!AE6-应付债券明细表!AK6</f>
        <v>0</v>
      </c>
    </row>
    <row r="7" spans="1:3" ht="14.4">
      <c r="A7" s="31" t="s">
        <v>204</v>
      </c>
      <c r="B7" s="21">
        <f>SUM(B2:B6)</f>
        <v>0</v>
      </c>
      <c r="C7" s="21">
        <f>SUM(C2:C6)</f>
        <v>0</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codeName="Sheet282">
    <tabColor rgb="FFFFC000"/>
  </sheetPr>
  <dimension ref="A1:K7"/>
  <sheetViews>
    <sheetView workbookViewId="0">
      <selection activeCell="I21" sqref="I21"/>
    </sheetView>
  </sheetViews>
  <sheetFormatPr defaultRowHeight="13.8"/>
  <cols>
    <col min="1" max="7" width="8.88671875" style="18"/>
    <col min="8" max="8" width="14" style="18" customWidth="1"/>
    <col min="9" max="16384" width="8.88671875" style="18"/>
  </cols>
  <sheetData>
    <row r="1" spans="1:11">
      <c r="A1" s="24" t="s">
        <v>538</v>
      </c>
      <c r="B1" s="24" t="s">
        <v>3352</v>
      </c>
      <c r="C1" s="24" t="s">
        <v>539</v>
      </c>
      <c r="D1" s="24" t="s">
        <v>540</v>
      </c>
      <c r="E1" s="24" t="s">
        <v>541</v>
      </c>
      <c r="F1" s="24" t="s">
        <v>265</v>
      </c>
      <c r="G1" s="24" t="s">
        <v>542</v>
      </c>
      <c r="H1" s="24" t="s">
        <v>543</v>
      </c>
      <c r="I1" s="24" t="s">
        <v>544</v>
      </c>
      <c r="J1" s="24" t="s">
        <v>545</v>
      </c>
      <c r="K1" s="24" t="s">
        <v>203</v>
      </c>
    </row>
    <row r="2" spans="1:11">
      <c r="A2" s="615"/>
      <c r="B2" s="616"/>
      <c r="C2" s="615"/>
      <c r="D2" s="615"/>
      <c r="E2" s="309"/>
      <c r="F2" s="616"/>
      <c r="G2" s="309"/>
      <c r="H2" s="309"/>
      <c r="I2" s="309"/>
      <c r="J2" s="309"/>
      <c r="K2" s="613">
        <f>ROUND(F2+G2+H2-I2-J2,2)</f>
        <v>0</v>
      </c>
    </row>
    <row r="3" spans="1:11">
      <c r="A3" s="615"/>
      <c r="B3" s="616"/>
      <c r="C3" s="615"/>
      <c r="D3" s="615"/>
      <c r="E3" s="309"/>
      <c r="F3" s="616"/>
      <c r="G3" s="309"/>
      <c r="H3" s="309"/>
      <c r="I3" s="309"/>
      <c r="J3" s="309"/>
      <c r="K3" s="613">
        <f>ROUND(F3+G3+H3-I3-J3,2)</f>
        <v>0</v>
      </c>
    </row>
    <row r="4" spans="1:11">
      <c r="A4" s="615"/>
      <c r="B4" s="616"/>
      <c r="C4" s="615"/>
      <c r="D4" s="615"/>
      <c r="E4" s="309"/>
      <c r="F4" s="616"/>
      <c r="G4" s="309"/>
      <c r="H4" s="309"/>
      <c r="I4" s="309"/>
      <c r="J4" s="309"/>
      <c r="K4" s="613">
        <f>ROUND(F4+G4+H4-I4-J4,2)</f>
        <v>0</v>
      </c>
    </row>
    <row r="5" spans="1:11">
      <c r="A5" s="615"/>
      <c r="B5" s="616"/>
      <c r="C5" s="615"/>
      <c r="D5" s="615"/>
      <c r="E5" s="309"/>
      <c r="F5" s="616"/>
      <c r="G5" s="309"/>
      <c r="H5" s="309"/>
      <c r="I5" s="309"/>
      <c r="J5" s="309"/>
      <c r="K5" s="613">
        <f>ROUND(F5+G5+H5-I5-J5,2)</f>
        <v>0</v>
      </c>
    </row>
    <row r="6" spans="1:11">
      <c r="A6" s="615"/>
      <c r="B6" s="616"/>
      <c r="C6" s="615"/>
      <c r="D6" s="615"/>
      <c r="E6" s="309"/>
      <c r="F6" s="616"/>
      <c r="G6" s="309"/>
      <c r="H6" s="309"/>
      <c r="I6" s="309"/>
      <c r="J6" s="309"/>
      <c r="K6" s="613">
        <f>ROUND(F6+G6+H6-I6-J6,2)</f>
        <v>0</v>
      </c>
    </row>
    <row r="7" spans="1:11">
      <c r="A7" s="24" t="s">
        <v>262</v>
      </c>
      <c r="B7" s="25"/>
      <c r="C7" s="26"/>
      <c r="D7" s="26"/>
      <c r="E7" s="25"/>
      <c r="F7" s="632">
        <f t="shared" ref="F7:K7" si="0">ROUND(SUM(F2:F6),2)</f>
        <v>0</v>
      </c>
      <c r="G7" s="25">
        <f t="shared" si="0"/>
        <v>0</v>
      </c>
      <c r="H7" s="25">
        <f t="shared" si="0"/>
        <v>0</v>
      </c>
      <c r="I7" s="25">
        <f t="shared" si="0"/>
        <v>0</v>
      </c>
      <c r="J7" s="25">
        <f t="shared" si="0"/>
        <v>0</v>
      </c>
      <c r="K7" s="632">
        <f t="shared" si="0"/>
        <v>0</v>
      </c>
    </row>
  </sheetData>
  <phoneticPr fontId="1" type="noConversion"/>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A386-62CD-47A9-A8A7-A10D0CEFB193}">
  <sheetPr codeName="Sheet283"/>
  <dimension ref="A1:AR17"/>
  <sheetViews>
    <sheetView workbookViewId="0">
      <pane xSplit="1" ySplit="1" topLeftCell="T2" activePane="bottomRight" state="frozen"/>
      <selection pane="topRight" activeCell="B1" sqref="B1"/>
      <selection pane="bottomLeft" activeCell="A2" sqref="A2"/>
      <selection pane="bottomRight" activeCell="AD20" sqref="AD20"/>
    </sheetView>
  </sheetViews>
  <sheetFormatPr defaultRowHeight="13.8"/>
  <cols>
    <col min="1" max="1" width="8.88671875" style="229"/>
    <col min="2" max="2" width="10.6640625" style="229" bestFit="1" customWidth="1"/>
    <col min="3" max="11" width="8.88671875" style="229"/>
    <col min="12" max="12" width="9.109375" style="229" customWidth="1"/>
    <col min="13" max="36" width="8.88671875" style="229"/>
    <col min="37" max="37" width="26" style="229" bestFit="1" customWidth="1"/>
    <col min="38" max="38" width="23.77734375" style="229" bestFit="1" customWidth="1"/>
    <col min="39" max="16384" width="8.88671875" style="229"/>
  </cols>
  <sheetData>
    <row r="1" spans="1:44" s="519" customFormat="1" ht="41.4">
      <c r="A1" s="519" t="s">
        <v>2383</v>
      </c>
      <c r="B1" s="519" t="s">
        <v>538</v>
      </c>
      <c r="C1" s="519" t="s">
        <v>540</v>
      </c>
      <c r="D1" s="519" t="s">
        <v>3856</v>
      </c>
      <c r="E1" s="519" t="s">
        <v>3857</v>
      </c>
      <c r="F1" s="519" t="s">
        <v>3858</v>
      </c>
      <c r="G1" s="519" t="s">
        <v>3859</v>
      </c>
      <c r="H1" s="519" t="s">
        <v>3860</v>
      </c>
      <c r="I1" s="519" t="s">
        <v>3861</v>
      </c>
      <c r="J1" s="519" t="s">
        <v>3862</v>
      </c>
      <c r="K1" s="519" t="s">
        <v>3863</v>
      </c>
      <c r="L1" s="519" t="s">
        <v>3881</v>
      </c>
      <c r="M1" s="519" t="s">
        <v>3882</v>
      </c>
      <c r="N1" s="519" t="s">
        <v>3883</v>
      </c>
      <c r="O1" s="519" t="s">
        <v>3864</v>
      </c>
      <c r="P1" s="519" t="s">
        <v>542</v>
      </c>
      <c r="Q1" s="519" t="s">
        <v>3865</v>
      </c>
      <c r="R1" s="519" t="s">
        <v>3866</v>
      </c>
      <c r="S1" s="519" t="s">
        <v>3884</v>
      </c>
      <c r="T1" s="519" t="s">
        <v>359</v>
      </c>
      <c r="U1" s="519" t="s">
        <v>360</v>
      </c>
      <c r="V1" s="519" t="s">
        <v>3867</v>
      </c>
      <c r="W1" s="519" t="s">
        <v>3874</v>
      </c>
      <c r="X1" s="519" t="s">
        <v>3875</v>
      </c>
      <c r="Y1" s="519" t="s">
        <v>3876</v>
      </c>
      <c r="Z1" s="519" t="s">
        <v>3877</v>
      </c>
      <c r="AA1" s="519" t="s">
        <v>3878</v>
      </c>
      <c r="AB1" s="519" t="s">
        <v>3879</v>
      </c>
      <c r="AC1" s="519" t="s">
        <v>3868</v>
      </c>
      <c r="AD1" s="519" t="s">
        <v>3880</v>
      </c>
      <c r="AE1" s="519" t="s">
        <v>3864</v>
      </c>
      <c r="AF1" s="519" t="s">
        <v>3869</v>
      </c>
      <c r="AG1" s="519" t="s">
        <v>578</v>
      </c>
      <c r="AH1" s="519" t="s">
        <v>3870</v>
      </c>
      <c r="AI1" s="519" t="s">
        <v>3871</v>
      </c>
      <c r="AJ1" s="519" t="s">
        <v>390</v>
      </c>
      <c r="AK1" s="519" t="s">
        <v>3854</v>
      </c>
      <c r="AL1" s="519" t="s">
        <v>3872</v>
      </c>
      <c r="AM1" s="519" t="s">
        <v>3873</v>
      </c>
      <c r="AN1" s="519" t="s">
        <v>260</v>
      </c>
      <c r="AO1" s="519" t="s">
        <v>294</v>
      </c>
      <c r="AP1" s="519" t="s">
        <v>295</v>
      </c>
      <c r="AQ1" s="519" t="s">
        <v>296</v>
      </c>
      <c r="AR1" s="519" t="s">
        <v>3855</v>
      </c>
    </row>
    <row r="2" spans="1:44">
      <c r="A2" s="229" t="str">
        <f>IF(OR(O2&gt;0,AJ2&gt;0),基础信息!$B$1,"")</f>
        <v/>
      </c>
      <c r="B2" s="288"/>
      <c r="C2" s="288"/>
      <c r="D2" s="288"/>
      <c r="E2" s="288"/>
      <c r="F2" s="288"/>
      <c r="G2" s="288"/>
      <c r="H2" s="288"/>
      <c r="I2" s="288"/>
      <c r="J2" s="288"/>
      <c r="K2" s="229">
        <f>I2*J2</f>
        <v>0</v>
      </c>
      <c r="N2" s="229">
        <f>K2-L2-M2</f>
        <v>0</v>
      </c>
      <c r="O2" s="288"/>
      <c r="P2" s="288"/>
      <c r="Q2" s="288"/>
      <c r="R2" s="229">
        <f t="shared" ref="R2:R6" si="0">SUM(O2:P2)-Q2</f>
        <v>0</v>
      </c>
      <c r="S2" s="288"/>
      <c r="T2" s="288"/>
      <c r="U2" s="288"/>
      <c r="V2" s="229">
        <f t="shared" ref="V2:V6" si="1">S2+T2-U2</f>
        <v>0</v>
      </c>
      <c r="W2" s="288"/>
      <c r="X2" s="288"/>
      <c r="Y2" s="288"/>
      <c r="Z2" s="229">
        <f t="shared" ref="Z2:Z6" si="2">W2+X2-Y2</f>
        <v>0</v>
      </c>
      <c r="AA2" s="288"/>
      <c r="AB2" s="288"/>
      <c r="AC2" s="288"/>
      <c r="AD2" s="229">
        <f t="shared" ref="AD2:AD6" si="3">AA2+AB2-AC2</f>
        <v>0</v>
      </c>
      <c r="AE2" s="229">
        <f>O2-S2+W2</f>
        <v>0</v>
      </c>
      <c r="AF2" s="229">
        <f>R2-V2+Z2</f>
        <v>0</v>
      </c>
      <c r="AG2" s="229">
        <f>W2+AA2</f>
        <v>0</v>
      </c>
      <c r="AH2" s="229">
        <f t="shared" ref="AH2" si="4">X2+AB2</f>
        <v>0</v>
      </c>
      <c r="AI2" s="229">
        <f t="shared" ref="AI2" si="5">Y2+AC2</f>
        <v>0</v>
      </c>
      <c r="AJ2" s="229">
        <f t="shared" ref="AJ2" si="6">Z2+AD2</f>
        <v>0</v>
      </c>
      <c r="AK2" s="288"/>
      <c r="AL2" s="288"/>
      <c r="AM2" s="288"/>
      <c r="AN2" s="288"/>
      <c r="AO2" s="288"/>
      <c r="AP2" s="288"/>
      <c r="AQ2" s="288"/>
      <c r="AR2" s="229">
        <f>SUM(AL2:AQ2)-AF2</f>
        <v>0</v>
      </c>
    </row>
    <row r="3" spans="1:44">
      <c r="A3" s="229" t="str">
        <f>IF(OR(O3&gt;0,AJ3&gt;0),基础信息!$B$1,"")</f>
        <v/>
      </c>
      <c r="B3" s="288"/>
      <c r="C3" s="288"/>
      <c r="D3" s="288"/>
      <c r="E3" s="288"/>
      <c r="F3" s="288"/>
      <c r="G3" s="288"/>
      <c r="H3" s="288"/>
      <c r="I3" s="288"/>
      <c r="J3" s="288"/>
      <c r="K3" s="229">
        <f>I3*J3</f>
        <v>0</v>
      </c>
      <c r="N3" s="229">
        <f t="shared" ref="N3:N6" si="7">K3-L3-M3</f>
        <v>0</v>
      </c>
      <c r="O3" s="288"/>
      <c r="P3" s="288"/>
      <c r="Q3" s="288"/>
      <c r="R3" s="229">
        <f t="shared" si="0"/>
        <v>0</v>
      </c>
      <c r="S3" s="288"/>
      <c r="T3" s="288"/>
      <c r="U3" s="288"/>
      <c r="V3" s="229">
        <f t="shared" si="1"/>
        <v>0</v>
      </c>
      <c r="W3" s="288"/>
      <c r="X3" s="288"/>
      <c r="Y3" s="288"/>
      <c r="Z3" s="229">
        <f t="shared" si="2"/>
        <v>0</v>
      </c>
      <c r="AA3" s="288"/>
      <c r="AB3" s="288"/>
      <c r="AC3" s="288"/>
      <c r="AD3" s="229">
        <f t="shared" si="3"/>
        <v>0</v>
      </c>
      <c r="AE3" s="229">
        <f>O3-S3+W3</f>
        <v>0</v>
      </c>
      <c r="AF3" s="229">
        <f>R3-V3+Z3</f>
        <v>0</v>
      </c>
      <c r="AG3" s="229">
        <f>W3+AA3</f>
        <v>0</v>
      </c>
      <c r="AH3" s="229">
        <f t="shared" ref="AH3:AJ6" si="8">X3+AB3</f>
        <v>0</v>
      </c>
      <c r="AI3" s="229">
        <f t="shared" si="8"/>
        <v>0</v>
      </c>
      <c r="AJ3" s="229">
        <f t="shared" si="8"/>
        <v>0</v>
      </c>
      <c r="AK3" s="288"/>
      <c r="AL3" s="288"/>
      <c r="AM3" s="288"/>
      <c r="AN3" s="288"/>
      <c r="AO3" s="288"/>
      <c r="AP3" s="288"/>
      <c r="AQ3" s="288"/>
      <c r="AR3" s="229">
        <f>SUM(AL3:AQ3)-AF3</f>
        <v>0</v>
      </c>
    </row>
    <row r="4" spans="1:44">
      <c r="A4" s="229" t="str">
        <f>IF(OR(O4&gt;0,AJ4&gt;0),基础信息!$B$1,"")</f>
        <v/>
      </c>
      <c r="B4" s="288"/>
      <c r="C4" s="288"/>
      <c r="D4" s="288"/>
      <c r="E4" s="288"/>
      <c r="F4" s="288"/>
      <c r="G4" s="288"/>
      <c r="H4" s="288"/>
      <c r="I4" s="288"/>
      <c r="J4" s="288"/>
      <c r="K4" s="229">
        <f>I4*J4</f>
        <v>0</v>
      </c>
      <c r="N4" s="229">
        <f t="shared" si="7"/>
        <v>0</v>
      </c>
      <c r="O4" s="288"/>
      <c r="P4" s="288"/>
      <c r="Q4" s="288"/>
      <c r="R4" s="229">
        <f t="shared" si="0"/>
        <v>0</v>
      </c>
      <c r="S4" s="288"/>
      <c r="T4" s="288"/>
      <c r="U4" s="288"/>
      <c r="V4" s="229">
        <f t="shared" si="1"/>
        <v>0</v>
      </c>
      <c r="W4" s="288"/>
      <c r="X4" s="288"/>
      <c r="Y4" s="288"/>
      <c r="Z4" s="229">
        <f t="shared" si="2"/>
        <v>0</v>
      </c>
      <c r="AA4" s="288"/>
      <c r="AB4" s="288"/>
      <c r="AC4" s="288"/>
      <c r="AD4" s="229">
        <f t="shared" si="3"/>
        <v>0</v>
      </c>
      <c r="AE4" s="229">
        <f t="shared" ref="AE4:AE6" si="9">O4-S4+W4</f>
        <v>0</v>
      </c>
      <c r="AF4" s="229">
        <f t="shared" ref="AF4:AF6" si="10">R4-V4+Z4</f>
        <v>0</v>
      </c>
      <c r="AG4" s="229">
        <f t="shared" ref="AG4:AG6" si="11">W4+AA4</f>
        <v>0</v>
      </c>
      <c r="AH4" s="229">
        <f t="shared" si="8"/>
        <v>0</v>
      </c>
      <c r="AI4" s="229">
        <f t="shared" si="8"/>
        <v>0</v>
      </c>
      <c r="AJ4" s="229">
        <f t="shared" si="8"/>
        <v>0</v>
      </c>
      <c r="AK4" s="288"/>
      <c r="AL4" s="288"/>
      <c r="AM4" s="288"/>
      <c r="AN4" s="288"/>
      <c r="AO4" s="288"/>
      <c r="AP4" s="288"/>
      <c r="AQ4" s="288"/>
      <c r="AR4" s="229">
        <f t="shared" ref="AR4:AR6" si="12">SUM(AL4:AQ4)-AF4</f>
        <v>0</v>
      </c>
    </row>
    <row r="5" spans="1:44">
      <c r="A5" s="229" t="str">
        <f>IF(OR(O5&gt;0,AJ5&gt;0),基础信息!$B$1,"")</f>
        <v/>
      </c>
      <c r="B5" s="288"/>
      <c r="C5" s="288"/>
      <c r="D5" s="288"/>
      <c r="E5" s="288"/>
      <c r="F5" s="288"/>
      <c r="G5" s="288"/>
      <c r="H5" s="288"/>
      <c r="I5" s="288"/>
      <c r="J5" s="288"/>
      <c r="K5" s="229">
        <f t="shared" ref="K5:K6" si="13">I5*J5</f>
        <v>0</v>
      </c>
      <c r="N5" s="229">
        <f t="shared" si="7"/>
        <v>0</v>
      </c>
      <c r="O5" s="288"/>
      <c r="P5" s="288"/>
      <c r="Q5" s="288"/>
      <c r="R5" s="229">
        <f t="shared" si="0"/>
        <v>0</v>
      </c>
      <c r="S5" s="288"/>
      <c r="T5" s="288"/>
      <c r="U5" s="288"/>
      <c r="V5" s="229">
        <f t="shared" si="1"/>
        <v>0</v>
      </c>
      <c r="W5" s="288"/>
      <c r="X5" s="288"/>
      <c r="Y5" s="288"/>
      <c r="Z5" s="229">
        <f t="shared" si="2"/>
        <v>0</v>
      </c>
      <c r="AA5" s="288"/>
      <c r="AB5" s="288"/>
      <c r="AC5" s="288"/>
      <c r="AD5" s="229">
        <f t="shared" si="3"/>
        <v>0</v>
      </c>
      <c r="AE5" s="229">
        <f t="shared" si="9"/>
        <v>0</v>
      </c>
      <c r="AF5" s="229">
        <f t="shared" si="10"/>
        <v>0</v>
      </c>
      <c r="AG5" s="229">
        <f t="shared" si="11"/>
        <v>0</v>
      </c>
      <c r="AH5" s="229">
        <f t="shared" si="8"/>
        <v>0</v>
      </c>
      <c r="AI5" s="229">
        <f t="shared" si="8"/>
        <v>0</v>
      </c>
      <c r="AJ5" s="229">
        <f t="shared" si="8"/>
        <v>0</v>
      </c>
      <c r="AK5" s="288"/>
      <c r="AL5" s="288"/>
      <c r="AM5" s="288"/>
      <c r="AN5" s="288"/>
      <c r="AO5" s="288"/>
      <c r="AP5" s="288"/>
      <c r="AQ5" s="288"/>
      <c r="AR5" s="229">
        <f t="shared" si="12"/>
        <v>0</v>
      </c>
    </row>
    <row r="6" spans="1:44">
      <c r="A6" s="229" t="str">
        <f>IF(OR(O6&gt;0,AJ6&gt;0),基础信息!$B$1,"")</f>
        <v/>
      </c>
      <c r="B6" s="288"/>
      <c r="C6" s="288"/>
      <c r="D6" s="288"/>
      <c r="E6" s="288"/>
      <c r="F6" s="288"/>
      <c r="G6" s="288"/>
      <c r="H6" s="288"/>
      <c r="I6" s="288"/>
      <c r="J6" s="288"/>
      <c r="K6" s="229">
        <f t="shared" si="13"/>
        <v>0</v>
      </c>
      <c r="N6" s="229">
        <f t="shared" si="7"/>
        <v>0</v>
      </c>
      <c r="O6" s="288"/>
      <c r="P6" s="288"/>
      <c r="Q6" s="288"/>
      <c r="R6" s="229">
        <f t="shared" si="0"/>
        <v>0</v>
      </c>
      <c r="S6" s="288"/>
      <c r="T6" s="288"/>
      <c r="U6" s="288"/>
      <c r="V6" s="229">
        <f t="shared" si="1"/>
        <v>0</v>
      </c>
      <c r="W6" s="288"/>
      <c r="X6" s="288"/>
      <c r="Y6" s="288"/>
      <c r="Z6" s="229">
        <f t="shared" si="2"/>
        <v>0</v>
      </c>
      <c r="AA6" s="288"/>
      <c r="AB6" s="288"/>
      <c r="AC6" s="288"/>
      <c r="AD6" s="229">
        <f t="shared" si="3"/>
        <v>0</v>
      </c>
      <c r="AE6" s="229">
        <f t="shared" si="9"/>
        <v>0</v>
      </c>
      <c r="AF6" s="229">
        <f t="shared" si="10"/>
        <v>0</v>
      </c>
      <c r="AG6" s="229">
        <f t="shared" si="11"/>
        <v>0</v>
      </c>
      <c r="AH6" s="229">
        <f t="shared" si="8"/>
        <v>0</v>
      </c>
      <c r="AI6" s="229">
        <f t="shared" si="8"/>
        <v>0</v>
      </c>
      <c r="AJ6" s="229">
        <f t="shared" si="8"/>
        <v>0</v>
      </c>
      <c r="AK6" s="288"/>
      <c r="AL6" s="288"/>
      <c r="AM6" s="288"/>
      <c r="AN6" s="288"/>
      <c r="AO6" s="288"/>
      <c r="AP6" s="288"/>
      <c r="AQ6" s="288"/>
      <c r="AR6" s="229">
        <f t="shared" si="12"/>
        <v>0</v>
      </c>
    </row>
    <row r="7" spans="1:44">
      <c r="A7" s="229" t="str">
        <f>IF(OR(O7&gt;0,AJ7&gt;0),基础信息!$B$1,"")</f>
        <v/>
      </c>
    </row>
    <row r="8" spans="1:44">
      <c r="A8" s="229" t="str">
        <f>IF(OR(O8&gt;0,AJ8&gt;0),基础信息!$B$1,"")</f>
        <v/>
      </c>
    </row>
    <row r="9" spans="1:44">
      <c r="A9" s="229" t="str">
        <f>IF(OR(O9&gt;0,AJ9&gt;0),基础信息!$B$1,"")</f>
        <v/>
      </c>
    </row>
    <row r="10" spans="1:44">
      <c r="A10" s="229" t="str">
        <f>IF(OR(O10&gt;0,AJ10&gt;0),基础信息!$B$1,"")</f>
        <v/>
      </c>
    </row>
    <row r="11" spans="1:44">
      <c r="A11" s="229" t="str">
        <f>IF(OR(O11&gt;0,AJ11&gt;0),基础信息!$B$1,"")</f>
        <v/>
      </c>
    </row>
    <row r="12" spans="1:44">
      <c r="A12" s="229" t="str">
        <f>IF(OR(O12&gt;0,AJ12&gt;0),基础信息!$B$1,"")</f>
        <v/>
      </c>
    </row>
    <row r="13" spans="1:44">
      <c r="A13" s="229" t="str">
        <f>IF(OR(O13&gt;0,AJ13&gt;0),基础信息!$B$1,"")</f>
        <v/>
      </c>
    </row>
    <row r="14" spans="1:44">
      <c r="A14" s="229" t="str">
        <f>IF(OR(O14&gt;0,AJ14&gt;0),基础信息!$B$1,"")</f>
        <v/>
      </c>
    </row>
    <row r="15" spans="1:44">
      <c r="A15" s="229" t="str">
        <f>IF(OR(O15&gt;0,AJ15&gt;0),基础信息!$B$1,"")</f>
        <v/>
      </c>
    </row>
    <row r="16" spans="1:44">
      <c r="A16" s="229" t="str">
        <f>IF(OR(O16&gt;0,AJ16&gt;0),基础信息!$B$1,"")</f>
        <v/>
      </c>
    </row>
    <row r="17" spans="1:1">
      <c r="A17" s="229" t="str">
        <f>IF(OR(O17&gt;0,AJ17&gt;0),基础信息!$B$1,"")</f>
        <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codeName="Sheet26">
    <tabColor rgb="FF00B0F0"/>
  </sheetPr>
  <dimension ref="A1:B48"/>
  <sheetViews>
    <sheetView workbookViewId="0">
      <selection activeCell="E18" sqref="E18"/>
    </sheetView>
  </sheetViews>
  <sheetFormatPr defaultRowHeight="13.8"/>
  <cols>
    <col min="1" max="1" width="28.109375" bestFit="1" customWidth="1"/>
    <col min="2" max="2" width="8.88671875" style="229"/>
  </cols>
  <sheetData>
    <row r="1" spans="1:2">
      <c r="A1" s="261" t="s">
        <v>2515</v>
      </c>
      <c r="B1" s="263" t="s">
        <v>2478</v>
      </c>
    </row>
    <row r="2" spans="1:2">
      <c r="A2" t="s">
        <v>2527</v>
      </c>
      <c r="B2" s="263">
        <f>固定资产情况!F16</f>
        <v>0</v>
      </c>
    </row>
    <row r="3" spans="1:2">
      <c r="A3" t="s">
        <v>2525</v>
      </c>
      <c r="B3" s="229">
        <f>将净利润调节为经营活动现金流量!B5</f>
        <v>0</v>
      </c>
    </row>
    <row r="4" spans="1:2">
      <c r="A4" t="s">
        <v>2508</v>
      </c>
      <c r="B4" s="229">
        <f>_xlfn.IFNA(VLOOKUP("折旧费",管理费用!A:C,2,0),0)</f>
        <v>0</v>
      </c>
    </row>
    <row r="5" spans="1:2">
      <c r="A5" t="s">
        <v>2509</v>
      </c>
      <c r="B5" s="229">
        <f>_xlfn.IFNA(VLOOKUP("折旧费",销售费用!A:C,2,0),0)</f>
        <v>0</v>
      </c>
    </row>
    <row r="6" spans="1:2">
      <c r="A6" t="s">
        <v>2511</v>
      </c>
      <c r="B6" s="288"/>
    </row>
    <row r="7" spans="1:2">
      <c r="A7" t="s">
        <v>2512</v>
      </c>
      <c r="B7" s="288"/>
    </row>
    <row r="8" spans="1:2">
      <c r="A8" t="s">
        <v>2513</v>
      </c>
      <c r="B8" s="288"/>
    </row>
    <row r="9" spans="1:2">
      <c r="A9" t="s">
        <v>2514</v>
      </c>
      <c r="B9" s="288"/>
    </row>
    <row r="10" spans="1:2">
      <c r="B10" s="288"/>
    </row>
    <row r="11" spans="1:2">
      <c r="A11" t="s">
        <v>2526</v>
      </c>
      <c r="B11" s="229">
        <f>SUM(B4:B10)</f>
        <v>0</v>
      </c>
    </row>
    <row r="12" spans="1:2">
      <c r="A12" t="s">
        <v>2528</v>
      </c>
      <c r="B12" s="229">
        <f>B3-B11</f>
        <v>0</v>
      </c>
    </row>
    <row r="13" spans="1:2">
      <c r="A13" t="s">
        <v>2529</v>
      </c>
      <c r="B13" s="229">
        <f>B2-B3</f>
        <v>0</v>
      </c>
    </row>
    <row r="16" spans="1:2">
      <c r="A16" s="261" t="s">
        <v>2530</v>
      </c>
      <c r="B16" s="263"/>
    </row>
    <row r="17" spans="1:2">
      <c r="A17" t="s">
        <v>1636</v>
      </c>
      <c r="B17" s="229">
        <f>SUMIF(成本法核算投资性房地产明细表!I:I,"累计折旧本期增加计提或摊销",成本法核算投资性房地产明细表!F:F)</f>
        <v>0</v>
      </c>
    </row>
    <row r="18" spans="1:2">
      <c r="A18" t="s">
        <v>2525</v>
      </c>
      <c r="B18" s="229">
        <f>将净利润调节为经营活动现金流量!B8</f>
        <v>0</v>
      </c>
    </row>
    <row r="19" spans="1:2">
      <c r="A19" t="s">
        <v>2531</v>
      </c>
    </row>
    <row r="21" spans="1:2">
      <c r="A21" t="s">
        <v>2538</v>
      </c>
      <c r="B21" s="229">
        <f>SUM(B19:B20)</f>
        <v>0</v>
      </c>
    </row>
    <row r="22" spans="1:2">
      <c r="A22" t="s">
        <v>2534</v>
      </c>
      <c r="B22" s="229">
        <f>B17-B21</f>
        <v>0</v>
      </c>
    </row>
    <row r="23" spans="1:2">
      <c r="A23" t="s">
        <v>2535</v>
      </c>
      <c r="B23" s="229">
        <f>B17-B18</f>
        <v>0</v>
      </c>
    </row>
    <row r="25" spans="1:2">
      <c r="A25" s="261" t="s">
        <v>2532</v>
      </c>
      <c r="B25" s="263"/>
    </row>
    <row r="26" spans="1:2">
      <c r="A26" t="s">
        <v>2533</v>
      </c>
      <c r="B26" s="229">
        <f>长期待摊费用!D10</f>
        <v>0</v>
      </c>
    </row>
    <row r="27" spans="1:2">
      <c r="A27" t="s">
        <v>2525</v>
      </c>
      <c r="B27" s="229">
        <f>将净利润调节为经营活动现金流量!B10</f>
        <v>0</v>
      </c>
    </row>
    <row r="28" spans="1:2">
      <c r="A28" t="s">
        <v>2536</v>
      </c>
      <c r="B28" s="229">
        <f>_xlfn.IFNA(VLOOKUP("长期待摊费用摊销",管理费用!A:B,2,0),0)</f>
        <v>0</v>
      </c>
    </row>
    <row r="29" spans="1:2">
      <c r="A29" t="s">
        <v>2537</v>
      </c>
      <c r="B29" s="229">
        <f>_xlfn.IFNA(VLOOKUP("长期待摊费用摊销",销售费用!A:B,2,0),0)</f>
        <v>0</v>
      </c>
    </row>
    <row r="30" spans="1:2">
      <c r="A30" t="s">
        <v>2539</v>
      </c>
      <c r="B30" s="288"/>
    </row>
    <row r="31" spans="1:2">
      <c r="B31" s="288"/>
    </row>
    <row r="32" spans="1:2">
      <c r="B32" s="288"/>
    </row>
    <row r="33" spans="1:2">
      <c r="B33" s="288"/>
    </row>
    <row r="34" spans="1:2">
      <c r="A34" t="s">
        <v>2540</v>
      </c>
      <c r="B34" s="229">
        <f>SUM(B28:B33)</f>
        <v>0</v>
      </c>
    </row>
    <row r="35" spans="1:2">
      <c r="A35" t="s">
        <v>2534</v>
      </c>
      <c r="B35" s="229">
        <f>B26-B34</f>
        <v>0</v>
      </c>
    </row>
    <row r="36" spans="1:2">
      <c r="A36" t="s">
        <v>2535</v>
      </c>
      <c r="B36" s="229">
        <f>B26-B27</f>
        <v>0</v>
      </c>
    </row>
    <row r="39" spans="1:2">
      <c r="A39" s="261" t="s">
        <v>2541</v>
      </c>
      <c r="B39" s="263"/>
    </row>
    <row r="40" spans="1:2">
      <c r="A40" t="s">
        <v>2542</v>
      </c>
      <c r="B40" s="229">
        <f>SUMIF(无形资产明细表!I:I,"累计折旧本期增加计提",无形资产明细表!F:F)</f>
        <v>0</v>
      </c>
    </row>
    <row r="41" spans="1:2">
      <c r="A41" t="s">
        <v>2525</v>
      </c>
      <c r="B41" s="229">
        <f>将净利润调节为经营活动现金流量!B9</f>
        <v>0</v>
      </c>
    </row>
    <row r="42" spans="1:2">
      <c r="A42" t="s">
        <v>2543</v>
      </c>
      <c r="B42" s="229">
        <f>_xlfn.IFNA(VLOOKUP("无形资产摊销",管理费用!A:B,2,0),0)</f>
        <v>0</v>
      </c>
    </row>
    <row r="43" spans="1:2">
      <c r="A43" t="s">
        <v>2544</v>
      </c>
      <c r="B43" s="229">
        <f>_xlfn.IFNA(VLOOKUP("无形资产摊销",销售费用!A:B,2,0),0)</f>
        <v>0</v>
      </c>
    </row>
    <row r="44" spans="1:2">
      <c r="B44" s="288"/>
    </row>
    <row r="45" spans="1:2">
      <c r="B45" s="288"/>
    </row>
    <row r="46" spans="1:2">
      <c r="A46" t="s">
        <v>2545</v>
      </c>
      <c r="B46" s="229">
        <f>SUM(B42:B45)</f>
        <v>0</v>
      </c>
    </row>
    <row r="47" spans="1:2">
      <c r="A47" t="s">
        <v>2534</v>
      </c>
      <c r="B47" s="229">
        <f>B40-B41</f>
        <v>0</v>
      </c>
    </row>
    <row r="48" spans="1:2">
      <c r="A48" t="s">
        <v>2535</v>
      </c>
      <c r="B48" s="229">
        <f>B46-B40</f>
        <v>0</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codeName="Sheet284">
    <tabColor rgb="FFFFC000"/>
  </sheetPr>
  <dimension ref="A1:J7"/>
  <sheetViews>
    <sheetView workbookViewId="0">
      <selection activeCell="M27" sqref="M27"/>
    </sheetView>
  </sheetViews>
  <sheetFormatPr defaultRowHeight="13.8"/>
  <cols>
    <col min="1" max="16384" width="8.88671875" style="18"/>
  </cols>
  <sheetData>
    <row r="1" spans="1:10" ht="28.8" customHeight="1">
      <c r="A1" s="32" t="s">
        <v>547</v>
      </c>
      <c r="B1" s="20" t="s">
        <v>554</v>
      </c>
      <c r="C1" s="20" t="s">
        <v>555</v>
      </c>
      <c r="D1" s="32" t="s">
        <v>548</v>
      </c>
      <c r="E1" s="20" t="s">
        <v>556</v>
      </c>
      <c r="F1" s="32" t="s">
        <v>549</v>
      </c>
      <c r="G1" s="32" t="s">
        <v>183</v>
      </c>
      <c r="H1" s="32" t="s">
        <v>550</v>
      </c>
      <c r="I1" s="32" t="s">
        <v>3324</v>
      </c>
      <c r="J1" s="20" t="s">
        <v>557</v>
      </c>
    </row>
    <row r="2" spans="1:10" ht="14.4">
      <c r="A2" s="306"/>
      <c r="B2" s="269"/>
      <c r="C2" s="269"/>
      <c r="D2" s="306"/>
      <c r="E2" s="269"/>
      <c r="F2" s="306"/>
      <c r="G2" s="306"/>
      <c r="H2" s="306"/>
      <c r="I2" s="306"/>
      <c r="J2" s="269"/>
    </row>
    <row r="3" spans="1:10" ht="15.6">
      <c r="A3" s="268"/>
      <c r="B3" s="337"/>
      <c r="C3" s="337"/>
      <c r="D3" s="337"/>
      <c r="E3" s="337"/>
      <c r="F3" s="337"/>
      <c r="G3" s="337"/>
      <c r="H3" s="337"/>
      <c r="I3" s="337"/>
      <c r="J3" s="337"/>
    </row>
    <row r="4" spans="1:10" ht="15.6">
      <c r="A4" s="268"/>
      <c r="B4" s="337"/>
      <c r="C4" s="337"/>
      <c r="D4" s="337"/>
      <c r="E4" s="337"/>
      <c r="F4" s="337"/>
      <c r="G4" s="337"/>
      <c r="H4" s="337"/>
      <c r="I4" s="337"/>
      <c r="J4" s="337"/>
    </row>
    <row r="5" spans="1:10" ht="15.6">
      <c r="A5" s="268"/>
      <c r="B5" s="337"/>
      <c r="C5" s="337"/>
      <c r="D5" s="337"/>
      <c r="E5" s="337"/>
      <c r="F5" s="337"/>
      <c r="G5" s="337"/>
      <c r="H5" s="337"/>
      <c r="I5" s="337"/>
      <c r="J5" s="337"/>
    </row>
    <row r="6" spans="1:10" ht="15.6">
      <c r="A6" s="268"/>
      <c r="B6" s="337"/>
      <c r="C6" s="337"/>
      <c r="D6" s="337"/>
      <c r="E6" s="337"/>
      <c r="F6" s="337"/>
      <c r="G6" s="337"/>
      <c r="H6" s="337"/>
      <c r="I6" s="337"/>
      <c r="J6" s="337"/>
    </row>
    <row r="7" spans="1:10" ht="14.4">
      <c r="A7" s="20" t="s">
        <v>204</v>
      </c>
      <c r="B7" s="20" t="s">
        <v>235</v>
      </c>
      <c r="C7" s="20" t="s">
        <v>235</v>
      </c>
      <c r="D7" s="20" t="s">
        <v>235</v>
      </c>
      <c r="E7" s="20" t="s">
        <v>235</v>
      </c>
      <c r="F7" s="20" t="s">
        <v>235</v>
      </c>
      <c r="G7" s="20"/>
      <c r="H7" s="20" t="s">
        <v>235</v>
      </c>
      <c r="I7" s="20" t="s">
        <v>235</v>
      </c>
      <c r="J7" s="20" t="s">
        <v>235</v>
      </c>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codeName="Sheet285">
    <tabColor rgb="FFFFC000"/>
  </sheetPr>
  <dimension ref="A1:I6"/>
  <sheetViews>
    <sheetView workbookViewId="0">
      <selection activeCell="K28" sqref="K28"/>
    </sheetView>
  </sheetViews>
  <sheetFormatPr defaultRowHeight="13.8"/>
  <cols>
    <col min="1" max="16384" width="8.88671875" style="18"/>
  </cols>
  <sheetData>
    <row r="1" spans="1:9" ht="28.8" customHeight="1">
      <c r="A1" s="47" t="s">
        <v>547</v>
      </c>
      <c r="B1" s="47" t="s">
        <v>561</v>
      </c>
      <c r="C1" s="47" t="s">
        <v>221</v>
      </c>
      <c r="D1" s="47" t="s">
        <v>558</v>
      </c>
      <c r="E1" s="47" t="s">
        <v>342</v>
      </c>
      <c r="F1" s="47" t="s">
        <v>559</v>
      </c>
      <c r="G1" s="47" t="s">
        <v>335</v>
      </c>
      <c r="H1" s="47" t="s">
        <v>560</v>
      </c>
      <c r="I1" s="47" t="s">
        <v>216</v>
      </c>
    </row>
    <row r="2" spans="1:9" ht="14.4">
      <c r="A2" s="338" t="s">
        <v>551</v>
      </c>
      <c r="B2" s="339"/>
      <c r="C2" s="339"/>
      <c r="D2" s="339"/>
      <c r="E2" s="339"/>
      <c r="F2" s="339"/>
      <c r="G2" s="339"/>
      <c r="H2" s="339"/>
      <c r="I2" s="339"/>
    </row>
    <row r="3" spans="1:9" ht="14.4">
      <c r="A3" s="338" t="s">
        <v>552</v>
      </c>
      <c r="B3" s="339"/>
      <c r="C3" s="339"/>
      <c r="D3" s="339"/>
      <c r="E3" s="339"/>
      <c r="F3" s="339"/>
      <c r="G3" s="339"/>
      <c r="H3" s="339"/>
      <c r="I3" s="339"/>
    </row>
    <row r="4" spans="1:9" ht="14.4">
      <c r="A4" s="338" t="s">
        <v>553</v>
      </c>
      <c r="B4" s="339"/>
      <c r="C4" s="339"/>
      <c r="D4" s="339"/>
      <c r="E4" s="339"/>
      <c r="F4" s="339"/>
      <c r="G4" s="339"/>
      <c r="H4" s="339"/>
      <c r="I4" s="339"/>
    </row>
    <row r="5" spans="1:9" ht="14.4">
      <c r="A5" s="338" t="s">
        <v>13</v>
      </c>
      <c r="B5" s="339"/>
      <c r="C5" s="339"/>
      <c r="D5" s="339"/>
      <c r="E5" s="339"/>
      <c r="F5" s="339"/>
      <c r="G5" s="339"/>
      <c r="H5" s="339"/>
      <c r="I5" s="339"/>
    </row>
    <row r="6" spans="1:9" ht="14.4">
      <c r="A6" s="49" t="s">
        <v>204</v>
      </c>
      <c r="B6" s="20" t="s">
        <v>235</v>
      </c>
      <c r="C6" s="48"/>
      <c r="D6" s="20" t="s">
        <v>235</v>
      </c>
      <c r="E6" s="48"/>
      <c r="F6" s="20" t="s">
        <v>235</v>
      </c>
      <c r="G6" s="48"/>
      <c r="H6" s="20" t="s">
        <v>235</v>
      </c>
      <c r="I6" s="48"/>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codeName="Sheet286">
    <tabColor rgb="FFFFC000"/>
  </sheetPr>
  <dimension ref="A1:C11"/>
  <sheetViews>
    <sheetView workbookViewId="0">
      <selection activeCell="A23" sqref="A23"/>
    </sheetView>
  </sheetViews>
  <sheetFormatPr defaultRowHeight="13.8"/>
  <cols>
    <col min="1" max="1" width="63.44140625" style="18" customWidth="1"/>
    <col min="2" max="16384" width="8.88671875" style="18"/>
  </cols>
  <sheetData>
    <row r="1" spans="1:3" ht="28.8">
      <c r="A1" s="20" t="s">
        <v>28</v>
      </c>
      <c r="B1" s="20" t="s">
        <v>569</v>
      </c>
      <c r="C1" s="20" t="s">
        <v>568</v>
      </c>
    </row>
    <row r="2" spans="1:3" ht="14.4">
      <c r="A2" s="44" t="s">
        <v>562</v>
      </c>
      <c r="B2" s="340"/>
      <c r="C2" s="340"/>
    </row>
    <row r="3" spans="1:3" ht="14.4">
      <c r="A3" s="46" t="s">
        <v>563</v>
      </c>
      <c r="B3" s="340"/>
      <c r="C3" s="340"/>
    </row>
    <row r="4" spans="1:3">
      <c r="A4" s="46" t="s">
        <v>3320</v>
      </c>
      <c r="B4" s="340"/>
      <c r="C4" s="340"/>
    </row>
    <row r="5" spans="1:3" ht="14.4">
      <c r="A5" s="46" t="s">
        <v>564</v>
      </c>
      <c r="B5" s="340"/>
      <c r="C5" s="340"/>
    </row>
    <row r="6" spans="1:3">
      <c r="A6" s="46" t="s">
        <v>3321</v>
      </c>
      <c r="B6" s="340"/>
      <c r="C6" s="340"/>
    </row>
    <row r="7" spans="1:3">
      <c r="A7" s="46" t="s">
        <v>3322</v>
      </c>
      <c r="B7" s="340"/>
      <c r="C7" s="340"/>
    </row>
    <row r="8" spans="1:3">
      <c r="A8" s="46" t="s">
        <v>3323</v>
      </c>
      <c r="B8" s="340"/>
      <c r="C8" s="340"/>
    </row>
    <row r="9" spans="1:3" ht="14.4">
      <c r="A9" s="44" t="s">
        <v>565</v>
      </c>
      <c r="B9" s="340"/>
      <c r="C9" s="340"/>
    </row>
    <row r="10" spans="1:3" ht="14.4">
      <c r="A10" s="46" t="s">
        <v>566</v>
      </c>
      <c r="B10" s="340"/>
      <c r="C10" s="340"/>
    </row>
    <row r="11" spans="1:3" ht="14.4">
      <c r="A11" s="46" t="s">
        <v>567</v>
      </c>
      <c r="B11" s="340"/>
      <c r="C11" s="340"/>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codeName="Sheet287">
    <tabColor rgb="FFFFC000"/>
  </sheetPr>
  <dimension ref="A1:C5"/>
  <sheetViews>
    <sheetView workbookViewId="0">
      <selection activeCell="C14" sqref="C14"/>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28</v>
      </c>
      <c r="B1" s="20" t="s">
        <v>203</v>
      </c>
      <c r="C1" s="20" t="s">
        <v>265</v>
      </c>
    </row>
    <row r="2" spans="1:3" ht="14.4">
      <c r="A2" s="34" t="s">
        <v>3800</v>
      </c>
      <c r="B2" s="292">
        <f>ROUND(SUM(租赁负债明细表!I:I),2)</f>
        <v>0</v>
      </c>
      <c r="C2" s="266"/>
    </row>
    <row r="3" spans="1:3" ht="14.4">
      <c r="A3" s="34" t="s">
        <v>3804</v>
      </c>
      <c r="B3" s="292">
        <f>ROUND(SUM(租赁负债明细表!L:L),2)</f>
        <v>0</v>
      </c>
      <c r="C3" s="266"/>
    </row>
    <row r="4" spans="1:3" ht="14.4">
      <c r="A4" s="34" t="s">
        <v>573</v>
      </c>
      <c r="B4" s="289">
        <f>ROUND(SUM(租赁负债明细表!M:M)-SUM(租赁负债明细表!O:O),2)</f>
        <v>0</v>
      </c>
      <c r="C4" s="264"/>
    </row>
    <row r="5" spans="1:3" ht="14.4">
      <c r="A5" s="34" t="s">
        <v>572</v>
      </c>
      <c r="B5" s="289">
        <f>ROUND(B2-B3-B4,2)</f>
        <v>0</v>
      </c>
      <c r="C5" s="289">
        <f>ROUND(C2-C3-C4,2)</f>
        <v>0</v>
      </c>
    </row>
  </sheetData>
  <phoneticPr fontId="1" type="noConversion"/>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FB2D-FAFF-4B59-A63D-DFEEBE663C46}">
  <sheetPr codeName="Sheet288"/>
  <dimension ref="A1:P24"/>
  <sheetViews>
    <sheetView workbookViewId="0">
      <pane xSplit="1" ySplit="1" topLeftCell="B2" activePane="bottomRight" state="frozen"/>
      <selection pane="topRight" activeCell="B1" sqref="B1"/>
      <selection pane="bottomLeft" activeCell="A2" sqref="A2"/>
      <selection pane="bottomRight" activeCell="A6" sqref="A6"/>
    </sheetView>
  </sheetViews>
  <sheetFormatPr defaultRowHeight="13.8"/>
  <cols>
    <col min="5" max="6" width="11.6640625" bestFit="1" customWidth="1"/>
    <col min="8" max="8" width="11.6640625" bestFit="1" customWidth="1"/>
    <col min="9" max="9" width="11.6640625" style="229" bestFit="1" customWidth="1"/>
    <col min="11" max="11" width="16.109375" bestFit="1" customWidth="1"/>
    <col min="12" max="12" width="18.33203125" bestFit="1" customWidth="1"/>
    <col min="13" max="13" width="24.88671875" bestFit="1" customWidth="1"/>
    <col min="14" max="14" width="22.6640625" bestFit="1" customWidth="1"/>
    <col min="15" max="15" width="15.44140625" customWidth="1"/>
    <col min="16" max="16" width="14.33203125" customWidth="1"/>
  </cols>
  <sheetData>
    <row r="1" spans="1:16" s="236" customFormat="1" ht="27.6">
      <c r="A1" s="236" t="s">
        <v>2383</v>
      </c>
      <c r="B1" s="236" t="s">
        <v>3794</v>
      </c>
      <c r="C1" s="236" t="s">
        <v>2344</v>
      </c>
      <c r="D1" s="236" t="s">
        <v>3795</v>
      </c>
      <c r="E1" s="236" t="s">
        <v>3796</v>
      </c>
      <c r="F1" s="236" t="s">
        <v>3797</v>
      </c>
      <c r="G1" s="236" t="s">
        <v>3798</v>
      </c>
      <c r="H1" s="236" t="s">
        <v>3799</v>
      </c>
      <c r="I1" s="519" t="s">
        <v>3801</v>
      </c>
      <c r="J1" s="236" t="s">
        <v>3802</v>
      </c>
      <c r="K1" s="236" t="s">
        <v>3803</v>
      </c>
      <c r="L1" s="236" t="s">
        <v>3805</v>
      </c>
      <c r="M1" s="236" t="s">
        <v>3806</v>
      </c>
      <c r="N1" s="236" t="s">
        <v>3807</v>
      </c>
      <c r="O1" s="236" t="s">
        <v>3808</v>
      </c>
      <c r="P1" s="236" t="s">
        <v>3809</v>
      </c>
    </row>
    <row r="2" spans="1:16">
      <c r="A2" t="str">
        <f>IF(I2&gt;0,基础信息!$B$1,"")</f>
        <v/>
      </c>
      <c r="B2" s="255"/>
      <c r="C2" s="276"/>
      <c r="D2" s="255"/>
      <c r="E2" s="255"/>
      <c r="F2" s="255"/>
      <c r="G2" s="255"/>
      <c r="H2" s="255"/>
      <c r="I2" s="229">
        <f>G2-H2</f>
        <v>0</v>
      </c>
      <c r="J2" s="255"/>
      <c r="K2" s="255"/>
      <c r="L2" s="230">
        <f>I2-K2</f>
        <v>0</v>
      </c>
      <c r="M2" s="255"/>
      <c r="N2" s="230">
        <f>I2-M2</f>
        <v>0</v>
      </c>
      <c r="O2" s="255"/>
      <c r="P2" s="230">
        <f>L2-O2</f>
        <v>0</v>
      </c>
    </row>
    <row r="3" spans="1:16">
      <c r="A3" t="str">
        <f>IF(I3&gt;0,基础信息!$B$1,"")</f>
        <v/>
      </c>
      <c r="B3" s="255"/>
      <c r="C3" s="276"/>
      <c r="D3" s="255"/>
      <c r="E3" s="255"/>
      <c r="F3" s="255"/>
      <c r="G3" s="255"/>
      <c r="H3" s="255"/>
      <c r="I3" s="229">
        <f t="shared" ref="I3:I17" si="0">G3-H3</f>
        <v>0</v>
      </c>
      <c r="J3" s="255"/>
      <c r="K3" s="255"/>
      <c r="L3" s="230">
        <f t="shared" ref="L3:L17" si="1">I3-K3</f>
        <v>0</v>
      </c>
      <c r="M3" s="255"/>
      <c r="N3" s="230">
        <f t="shared" ref="N3:N17" si="2">I3-M3</f>
        <v>0</v>
      </c>
      <c r="O3" s="255"/>
      <c r="P3" s="230">
        <f t="shared" ref="P3:P17" si="3">L3-O3</f>
        <v>0</v>
      </c>
    </row>
    <row r="4" spans="1:16">
      <c r="A4" t="str">
        <f>IF(I4&gt;0,基础信息!$B$1,"")</f>
        <v/>
      </c>
      <c r="B4" s="255"/>
      <c r="C4" s="276"/>
      <c r="D4" s="255"/>
      <c r="E4" s="255"/>
      <c r="F4" s="255"/>
      <c r="G4" s="255"/>
      <c r="H4" s="255"/>
      <c r="I4" s="229">
        <f t="shared" si="0"/>
        <v>0</v>
      </c>
      <c r="J4" s="255"/>
      <c r="K4" s="255"/>
      <c r="L4" s="230">
        <f t="shared" si="1"/>
        <v>0</v>
      </c>
      <c r="M4" s="255"/>
      <c r="N4" s="230">
        <f t="shared" si="2"/>
        <v>0</v>
      </c>
      <c r="O4" s="255"/>
      <c r="P4" s="230">
        <f t="shared" si="3"/>
        <v>0</v>
      </c>
    </row>
    <row r="5" spans="1:16">
      <c r="A5" t="str">
        <f>IF(I5&gt;0,基础信息!$B$1,"")</f>
        <v/>
      </c>
      <c r="B5" s="255"/>
      <c r="C5" s="276"/>
      <c r="D5" s="255"/>
      <c r="E5" s="255"/>
      <c r="F5" s="255"/>
      <c r="G5" s="255"/>
      <c r="H5" s="255"/>
      <c r="I5" s="229">
        <f t="shared" si="0"/>
        <v>0</v>
      </c>
      <c r="J5" s="255"/>
      <c r="K5" s="255"/>
      <c r="L5" s="230">
        <f t="shared" si="1"/>
        <v>0</v>
      </c>
      <c r="M5" s="255"/>
      <c r="N5" s="230">
        <f t="shared" si="2"/>
        <v>0</v>
      </c>
      <c r="O5" s="255"/>
      <c r="P5" s="230">
        <f t="shared" si="3"/>
        <v>0</v>
      </c>
    </row>
    <row r="6" spans="1:16">
      <c r="A6" t="str">
        <f>IF(I6&gt;0,基础信息!$B$1,"")</f>
        <v/>
      </c>
      <c r="B6" s="255"/>
      <c r="C6" s="276"/>
      <c r="D6" s="255"/>
      <c r="E6" s="255"/>
      <c r="F6" s="255"/>
      <c r="G6" s="255"/>
      <c r="H6" s="255"/>
      <c r="I6" s="229">
        <f t="shared" si="0"/>
        <v>0</v>
      </c>
      <c r="J6" s="255"/>
      <c r="K6" s="255"/>
      <c r="L6" s="230">
        <f t="shared" si="1"/>
        <v>0</v>
      </c>
      <c r="M6" s="255"/>
      <c r="N6" s="230">
        <f t="shared" si="2"/>
        <v>0</v>
      </c>
      <c r="O6" s="255"/>
      <c r="P6" s="230">
        <f t="shared" si="3"/>
        <v>0</v>
      </c>
    </row>
    <row r="7" spans="1:16">
      <c r="A7" t="str">
        <f>IF(I7&gt;0,基础信息!$B$1,"")</f>
        <v/>
      </c>
      <c r="B7" s="255"/>
      <c r="C7" s="276"/>
      <c r="D7" s="255"/>
      <c r="E7" s="255"/>
      <c r="F7" s="255"/>
      <c r="G7" s="255"/>
      <c r="H7" s="255"/>
      <c r="I7" s="229">
        <f t="shared" si="0"/>
        <v>0</v>
      </c>
      <c r="J7" s="255"/>
      <c r="K7" s="255"/>
      <c r="L7" s="230">
        <f t="shared" si="1"/>
        <v>0</v>
      </c>
      <c r="M7" s="255"/>
      <c r="N7" s="230">
        <f t="shared" si="2"/>
        <v>0</v>
      </c>
      <c r="O7" s="255"/>
      <c r="P7" s="230">
        <f t="shared" si="3"/>
        <v>0</v>
      </c>
    </row>
    <row r="8" spans="1:16">
      <c r="A8" t="str">
        <f>IF(I8&gt;0,基础信息!$B$1,"")</f>
        <v/>
      </c>
      <c r="B8" s="255"/>
      <c r="C8" s="276"/>
      <c r="D8" s="255"/>
      <c r="E8" s="255"/>
      <c r="F8" s="255"/>
      <c r="G8" s="255"/>
      <c r="H8" s="255"/>
      <c r="I8" s="229">
        <f t="shared" si="0"/>
        <v>0</v>
      </c>
      <c r="J8" s="255"/>
      <c r="K8" s="255"/>
      <c r="L8" s="230">
        <f t="shared" si="1"/>
        <v>0</v>
      </c>
      <c r="M8" s="255"/>
      <c r="N8" s="230">
        <f t="shared" si="2"/>
        <v>0</v>
      </c>
      <c r="O8" s="255"/>
      <c r="P8" s="230">
        <f t="shared" si="3"/>
        <v>0</v>
      </c>
    </row>
    <row r="9" spans="1:16">
      <c r="A9" t="str">
        <f>IF(I9&gt;0,基础信息!$B$1,"")</f>
        <v/>
      </c>
      <c r="B9" s="255"/>
      <c r="C9" s="276"/>
      <c r="D9" s="255"/>
      <c r="E9" s="255"/>
      <c r="F9" s="255"/>
      <c r="G9" s="255"/>
      <c r="H9" s="255"/>
      <c r="I9" s="229">
        <f t="shared" si="0"/>
        <v>0</v>
      </c>
      <c r="J9" s="255"/>
      <c r="K9" s="255"/>
      <c r="L9" s="230">
        <f t="shared" si="1"/>
        <v>0</v>
      </c>
      <c r="M9" s="255"/>
      <c r="N9" s="230">
        <f t="shared" si="2"/>
        <v>0</v>
      </c>
      <c r="O9" s="255"/>
      <c r="P9" s="230">
        <f t="shared" si="3"/>
        <v>0</v>
      </c>
    </row>
    <row r="10" spans="1:16">
      <c r="A10" t="str">
        <f>IF(I10&gt;0,基础信息!$B$1,"")</f>
        <v/>
      </c>
      <c r="B10" s="255"/>
      <c r="C10" s="276"/>
      <c r="D10" s="255"/>
      <c r="E10" s="255"/>
      <c r="F10" s="255"/>
      <c r="G10" s="255"/>
      <c r="H10" s="255"/>
      <c r="I10" s="229">
        <f t="shared" si="0"/>
        <v>0</v>
      </c>
      <c r="J10" s="255"/>
      <c r="K10" s="255"/>
      <c r="L10" s="230">
        <f t="shared" si="1"/>
        <v>0</v>
      </c>
      <c r="M10" s="255"/>
      <c r="N10" s="230">
        <f t="shared" si="2"/>
        <v>0</v>
      </c>
      <c r="O10" s="255"/>
      <c r="P10" s="230">
        <f t="shared" si="3"/>
        <v>0</v>
      </c>
    </row>
    <row r="11" spans="1:16">
      <c r="A11" t="str">
        <f>IF(I11&gt;0,基础信息!$B$1,"")</f>
        <v/>
      </c>
      <c r="B11" s="255"/>
      <c r="C11" s="276"/>
      <c r="D11" s="255"/>
      <c r="E11" s="255"/>
      <c r="F11" s="255"/>
      <c r="G11" s="255"/>
      <c r="H11" s="255"/>
      <c r="I11" s="229">
        <f t="shared" si="0"/>
        <v>0</v>
      </c>
      <c r="J11" s="255"/>
      <c r="K11" s="255"/>
      <c r="L11" s="230">
        <f t="shared" si="1"/>
        <v>0</v>
      </c>
      <c r="M11" s="255"/>
      <c r="N11" s="230">
        <f t="shared" si="2"/>
        <v>0</v>
      </c>
      <c r="O11" s="255"/>
      <c r="P11" s="230">
        <f t="shared" si="3"/>
        <v>0</v>
      </c>
    </row>
    <row r="12" spans="1:16">
      <c r="A12" t="str">
        <f>IF(I12&gt;0,基础信息!$B$1,"")</f>
        <v/>
      </c>
      <c r="B12" s="255"/>
      <c r="C12" s="276"/>
      <c r="D12" s="255"/>
      <c r="E12" s="255"/>
      <c r="F12" s="255"/>
      <c r="G12" s="255"/>
      <c r="H12" s="255"/>
      <c r="I12" s="229">
        <f t="shared" si="0"/>
        <v>0</v>
      </c>
      <c r="J12" s="255"/>
      <c r="K12" s="255"/>
      <c r="L12" s="230">
        <f t="shared" si="1"/>
        <v>0</v>
      </c>
      <c r="M12" s="255"/>
      <c r="N12" s="230">
        <f t="shared" si="2"/>
        <v>0</v>
      </c>
      <c r="O12" s="255"/>
      <c r="P12" s="230">
        <f t="shared" si="3"/>
        <v>0</v>
      </c>
    </row>
    <row r="13" spans="1:16">
      <c r="A13" t="str">
        <f>IF(I13&gt;0,基础信息!$B$1,"")</f>
        <v/>
      </c>
      <c r="B13" s="255"/>
      <c r="C13" s="276"/>
      <c r="D13" s="255"/>
      <c r="E13" s="255"/>
      <c r="F13" s="255"/>
      <c r="G13" s="255"/>
      <c r="H13" s="255"/>
      <c r="I13" s="229">
        <f t="shared" si="0"/>
        <v>0</v>
      </c>
      <c r="J13" s="255"/>
      <c r="K13" s="255"/>
      <c r="L13" s="230">
        <f t="shared" si="1"/>
        <v>0</v>
      </c>
      <c r="M13" s="255"/>
      <c r="N13" s="230">
        <f t="shared" si="2"/>
        <v>0</v>
      </c>
      <c r="O13" s="255"/>
      <c r="P13" s="230">
        <f t="shared" si="3"/>
        <v>0</v>
      </c>
    </row>
    <row r="14" spans="1:16">
      <c r="A14" t="str">
        <f>IF(I14&gt;0,基础信息!$B$1,"")</f>
        <v/>
      </c>
      <c r="B14" s="255"/>
      <c r="C14" s="276"/>
      <c r="D14" s="255"/>
      <c r="E14" s="255"/>
      <c r="F14" s="255"/>
      <c r="G14" s="255"/>
      <c r="H14" s="255"/>
      <c r="I14" s="229">
        <f t="shared" si="0"/>
        <v>0</v>
      </c>
      <c r="J14" s="255"/>
      <c r="K14" s="255"/>
      <c r="L14" s="230">
        <f t="shared" si="1"/>
        <v>0</v>
      </c>
      <c r="M14" s="255"/>
      <c r="N14" s="230">
        <f t="shared" si="2"/>
        <v>0</v>
      </c>
      <c r="O14" s="255"/>
      <c r="P14" s="230">
        <f t="shared" si="3"/>
        <v>0</v>
      </c>
    </row>
    <row r="15" spans="1:16">
      <c r="A15" t="str">
        <f>IF(I15&gt;0,基础信息!$B$1,"")</f>
        <v/>
      </c>
      <c r="B15" s="255"/>
      <c r="C15" s="276"/>
      <c r="D15" s="255"/>
      <c r="E15" s="255"/>
      <c r="F15" s="255"/>
      <c r="G15" s="255"/>
      <c r="H15" s="255"/>
      <c r="I15" s="229">
        <f t="shared" si="0"/>
        <v>0</v>
      </c>
      <c r="J15" s="255"/>
      <c r="K15" s="255"/>
      <c r="L15" s="230">
        <f t="shared" si="1"/>
        <v>0</v>
      </c>
      <c r="M15" s="255"/>
      <c r="N15" s="230">
        <f t="shared" si="2"/>
        <v>0</v>
      </c>
      <c r="O15" s="255"/>
      <c r="P15" s="230">
        <f t="shared" si="3"/>
        <v>0</v>
      </c>
    </row>
    <row r="16" spans="1:16">
      <c r="A16" t="str">
        <f>IF(I16&gt;0,基础信息!$B$1,"")</f>
        <v/>
      </c>
      <c r="B16" s="255"/>
      <c r="C16" s="276"/>
      <c r="D16" s="255"/>
      <c r="E16" s="255"/>
      <c r="F16" s="255"/>
      <c r="G16" s="255"/>
      <c r="H16" s="255"/>
      <c r="I16" s="229">
        <f t="shared" si="0"/>
        <v>0</v>
      </c>
      <c r="J16" s="255"/>
      <c r="K16" s="255"/>
      <c r="L16" s="230">
        <f t="shared" si="1"/>
        <v>0</v>
      </c>
      <c r="M16" s="255"/>
      <c r="N16" s="230">
        <f t="shared" si="2"/>
        <v>0</v>
      </c>
      <c r="O16" s="255"/>
      <c r="P16" s="230">
        <f t="shared" si="3"/>
        <v>0</v>
      </c>
    </row>
    <row r="17" spans="1:16">
      <c r="A17" t="str">
        <f>IF(I17&gt;0,基础信息!$B$1,"")</f>
        <v/>
      </c>
      <c r="B17" s="255"/>
      <c r="C17" s="276"/>
      <c r="D17" s="255"/>
      <c r="E17" s="255"/>
      <c r="F17" s="255"/>
      <c r="G17" s="255"/>
      <c r="H17" s="255"/>
      <c r="I17" s="229">
        <f t="shared" si="0"/>
        <v>0</v>
      </c>
      <c r="J17" s="255"/>
      <c r="K17" s="255"/>
      <c r="L17" s="230">
        <f t="shared" si="1"/>
        <v>0</v>
      </c>
      <c r="M17" s="255"/>
      <c r="N17" s="230">
        <f t="shared" si="2"/>
        <v>0</v>
      </c>
      <c r="O17" s="255"/>
      <c r="P17" s="230">
        <f t="shared" si="3"/>
        <v>0</v>
      </c>
    </row>
    <row r="18" spans="1:16">
      <c r="A18" t="str">
        <f>IF(I18&gt;0,基础信息!$B$1,"")</f>
        <v/>
      </c>
    </row>
    <row r="19" spans="1:16">
      <c r="A19" t="str">
        <f>IF(I19&gt;0,基础信息!$B$1,"")</f>
        <v/>
      </c>
    </row>
    <row r="20" spans="1:16">
      <c r="A20" t="str">
        <f>IF(I20&gt;0,基础信息!$B$1,"")</f>
        <v/>
      </c>
    </row>
    <row r="21" spans="1:16">
      <c r="A21" t="str">
        <f>IF(I21&gt;0,基础信息!$B$1,"")</f>
        <v/>
      </c>
    </row>
    <row r="22" spans="1:16">
      <c r="A22" t="str">
        <f>IF(I22&gt;0,基础信息!$B$1,"")</f>
        <v/>
      </c>
    </row>
    <row r="23" spans="1:16">
      <c r="A23" t="str">
        <f>IF(I23&gt;0,基础信息!$B$1,"")</f>
        <v/>
      </c>
    </row>
    <row r="24" spans="1:16">
      <c r="A24" t="str">
        <f>IF(I24&gt;0,基础信息!$B$1,"")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CEE1A6E-D6EE-47CA-8DBC-224A8C5D0631}">
          <x14:formula1>
            <xm:f>分类表!$9:$9</xm:f>
          </x14:formula1>
          <xm:sqref>C2:C17</xm:sqref>
        </x14:dataValidation>
      </x14:dataValidations>
    </ext>
  </extLst>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sheetPr codeName="Sheet289">
    <tabColor rgb="FFFFC000"/>
  </sheetPr>
  <dimension ref="A1:C4"/>
  <sheetViews>
    <sheetView workbookViewId="0">
      <selection activeCell="G13" sqref="G13"/>
    </sheetView>
  </sheetViews>
  <sheetFormatPr defaultRowHeight="13.8"/>
  <cols>
    <col min="1" max="1" width="16" style="18" customWidth="1"/>
    <col min="2" max="3" width="8.88671875" style="1"/>
    <col min="4" max="16384" width="8.88671875" style="18"/>
  </cols>
  <sheetData>
    <row r="1" spans="1:3" ht="14.4">
      <c r="A1" s="31" t="s">
        <v>28</v>
      </c>
      <c r="B1" s="153" t="s">
        <v>203</v>
      </c>
      <c r="C1" s="153" t="s">
        <v>265</v>
      </c>
    </row>
    <row r="2" spans="1:3" ht="14.4">
      <c r="A2" s="32" t="s">
        <v>94</v>
      </c>
      <c r="B2" s="68">
        <f>ROUND(长期应付款!B15,2)</f>
        <v>0</v>
      </c>
      <c r="C2" s="68">
        <f>ROUND(长期应付款!C15,2)</f>
        <v>0</v>
      </c>
    </row>
    <row r="3" spans="1:3" ht="14.4">
      <c r="A3" s="32" t="s">
        <v>570</v>
      </c>
      <c r="B3" s="68">
        <f>ROUND(专项应付款!E12,2)</f>
        <v>0</v>
      </c>
      <c r="C3" s="68">
        <f>ROUND(专项应付款!B12,2)</f>
        <v>0</v>
      </c>
    </row>
    <row r="4" spans="1:3" ht="14.4">
      <c r="A4" s="31" t="s">
        <v>204</v>
      </c>
      <c r="B4" s="68">
        <f>ROUND(SUM(B2:B3),2)</f>
        <v>0</v>
      </c>
      <c r="C4" s="68">
        <f>ROUND(SUM(C2:C3),2)</f>
        <v>0</v>
      </c>
    </row>
  </sheetData>
  <phoneticPr fontId="1" type="noConversion"/>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codeName="Sheet290">
    <tabColor rgb="FFFFC000"/>
  </sheetPr>
  <dimension ref="A1:C15"/>
  <sheetViews>
    <sheetView workbookViewId="0">
      <selection activeCell="J22" sqref="J22"/>
    </sheetView>
  </sheetViews>
  <sheetFormatPr defaultRowHeight="13.8"/>
  <cols>
    <col min="1" max="16384" width="8.88671875" style="18"/>
  </cols>
  <sheetData>
    <row r="1" spans="1:3" ht="14.4">
      <c r="A1" s="31" t="s">
        <v>28</v>
      </c>
      <c r="B1" s="20" t="s">
        <v>203</v>
      </c>
      <c r="C1" s="20" t="s">
        <v>265</v>
      </c>
    </row>
    <row r="2" spans="1:3" ht="14.4">
      <c r="A2" s="609">
        <f>长期应付款明细表!B2</f>
        <v>0</v>
      </c>
      <c r="B2" s="267">
        <f>长期应付款明细表!N2-长期应付款明细表!O2</f>
        <v>0</v>
      </c>
      <c r="C2" s="267">
        <f>长期应付款明细表!I2-长期应付款明细表!J2</f>
        <v>0</v>
      </c>
    </row>
    <row r="3" spans="1:3" ht="14.4">
      <c r="A3" s="609">
        <f>长期应付款明细表!B3</f>
        <v>0</v>
      </c>
      <c r="B3" s="267">
        <f>长期应付款明细表!N3-长期应付款明细表!O3</f>
        <v>0</v>
      </c>
      <c r="C3" s="267">
        <f>长期应付款明细表!I3-长期应付款明细表!J3</f>
        <v>0</v>
      </c>
    </row>
    <row r="4" spans="1:3" ht="14.4">
      <c r="A4" s="609">
        <f>长期应付款明细表!B4</f>
        <v>0</v>
      </c>
      <c r="B4" s="267">
        <f>长期应付款明细表!N4-长期应付款明细表!O4</f>
        <v>0</v>
      </c>
      <c r="C4" s="267">
        <f>长期应付款明细表!I4-长期应付款明细表!J4</f>
        <v>0</v>
      </c>
    </row>
    <row r="5" spans="1:3" ht="14.4">
      <c r="A5" s="609">
        <f>长期应付款明细表!B5</f>
        <v>0</v>
      </c>
      <c r="B5" s="267">
        <f>长期应付款明细表!N5-长期应付款明细表!O5</f>
        <v>0</v>
      </c>
      <c r="C5" s="267">
        <f>长期应付款明细表!I5-长期应付款明细表!J5</f>
        <v>0</v>
      </c>
    </row>
    <row r="6" spans="1:3" ht="14.4">
      <c r="A6" s="609">
        <f>长期应付款明细表!B6</f>
        <v>0</v>
      </c>
      <c r="B6" s="267">
        <f>长期应付款明细表!N6-长期应付款明细表!O6</f>
        <v>0</v>
      </c>
      <c r="C6" s="267">
        <f>长期应付款明细表!I6-长期应付款明细表!J6</f>
        <v>0</v>
      </c>
    </row>
    <row r="7" spans="1:3" ht="14.4">
      <c r="A7" s="609">
        <f>长期应付款明细表!B7</f>
        <v>0</v>
      </c>
      <c r="B7" s="267">
        <f>长期应付款明细表!N7-长期应付款明细表!O7</f>
        <v>0</v>
      </c>
      <c r="C7" s="267">
        <f>长期应付款明细表!I7-长期应付款明细表!J7</f>
        <v>0</v>
      </c>
    </row>
    <row r="8" spans="1:3" ht="14.4">
      <c r="A8" s="609">
        <f>长期应付款明细表!B8</f>
        <v>0</v>
      </c>
      <c r="B8" s="267">
        <f>长期应付款明细表!N8-长期应付款明细表!O8</f>
        <v>0</v>
      </c>
      <c r="C8" s="267">
        <f>长期应付款明细表!I8-长期应付款明细表!J8</f>
        <v>0</v>
      </c>
    </row>
    <row r="9" spans="1:3" ht="14.4">
      <c r="A9" s="609">
        <f>长期应付款明细表!B9</f>
        <v>0</v>
      </c>
      <c r="B9" s="267">
        <f>长期应付款明细表!N9-长期应付款明细表!O9</f>
        <v>0</v>
      </c>
      <c r="C9" s="267">
        <f>长期应付款明细表!I9-长期应付款明细表!J9</f>
        <v>0</v>
      </c>
    </row>
    <row r="10" spans="1:3" ht="14.4">
      <c r="A10" s="609">
        <f>长期应付款明细表!B10</f>
        <v>0</v>
      </c>
      <c r="B10" s="267">
        <f>长期应付款明细表!N10-长期应付款明细表!O10</f>
        <v>0</v>
      </c>
      <c r="C10" s="267">
        <f>长期应付款明细表!I10-长期应付款明细表!J10</f>
        <v>0</v>
      </c>
    </row>
    <row r="11" spans="1:3" ht="14.4">
      <c r="A11" s="609">
        <f>长期应付款明细表!B11</f>
        <v>0</v>
      </c>
      <c r="B11" s="267">
        <f>长期应付款明细表!N11-长期应付款明细表!O11</f>
        <v>0</v>
      </c>
      <c r="C11" s="267">
        <f>长期应付款明细表!I11-长期应付款明细表!J11</f>
        <v>0</v>
      </c>
    </row>
    <row r="12" spans="1:3" ht="14.4">
      <c r="A12" s="609">
        <f>长期应付款明细表!B12</f>
        <v>0</v>
      </c>
      <c r="B12" s="267">
        <f>长期应付款明细表!N12-长期应付款明细表!O12</f>
        <v>0</v>
      </c>
      <c r="C12" s="267">
        <f>长期应付款明细表!I12-长期应付款明细表!J12</f>
        <v>0</v>
      </c>
    </row>
    <row r="13" spans="1:3" ht="14.4">
      <c r="A13" s="609">
        <f>长期应付款明细表!B13</f>
        <v>0</v>
      </c>
      <c r="B13" s="267">
        <f>长期应付款明细表!N13-长期应付款明细表!O13</f>
        <v>0</v>
      </c>
      <c r="C13" s="267">
        <f>长期应付款明细表!I13-长期应付款明细表!J13</f>
        <v>0</v>
      </c>
    </row>
    <row r="14" spans="1:3" ht="14.4">
      <c r="A14" s="609">
        <f>长期应付款明细表!B14</f>
        <v>0</v>
      </c>
      <c r="B14" s="267">
        <f>长期应付款明细表!N14-长期应付款明细表!O14</f>
        <v>0</v>
      </c>
      <c r="C14" s="267">
        <f>长期应付款明细表!I14-长期应付款明细表!J14</f>
        <v>0</v>
      </c>
    </row>
    <row r="15" spans="1:3" ht="14.4">
      <c r="A15" s="31" t="s">
        <v>204</v>
      </c>
      <c r="B15" s="21">
        <f>SUM(B2:B14)</f>
        <v>0</v>
      </c>
      <c r="C15" s="21">
        <f>SUM(C2:C14)</f>
        <v>0</v>
      </c>
    </row>
  </sheetData>
  <phoneticPr fontId="1"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1D71-6521-4412-8B84-EDF4BB1094DD}">
  <sheetPr codeName="Sheet291"/>
  <dimension ref="A1:X22"/>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RowHeight="13.8"/>
  <cols>
    <col min="2" max="2" width="11.6640625" bestFit="1" customWidth="1"/>
    <col min="9" max="10" width="8.88671875" style="236"/>
    <col min="24" max="24" width="8.88671875" style="229"/>
  </cols>
  <sheetData>
    <row r="1" spans="1:24" ht="55.2">
      <c r="A1" t="s">
        <v>2383</v>
      </c>
      <c r="B1" t="s">
        <v>3810</v>
      </c>
      <c r="C1" t="s">
        <v>3398</v>
      </c>
      <c r="D1" t="s">
        <v>2344</v>
      </c>
      <c r="E1" t="s">
        <v>3811</v>
      </c>
      <c r="F1" t="s">
        <v>3812</v>
      </c>
      <c r="G1" t="s">
        <v>3813</v>
      </c>
      <c r="H1" t="s">
        <v>3814</v>
      </c>
      <c r="I1" s="236" t="s">
        <v>3815</v>
      </c>
      <c r="J1" s="236" t="s">
        <v>3816</v>
      </c>
      <c r="K1" t="s">
        <v>3591</v>
      </c>
      <c r="L1" t="s">
        <v>3817</v>
      </c>
      <c r="M1" t="s">
        <v>3818</v>
      </c>
      <c r="N1" t="s">
        <v>390</v>
      </c>
      <c r="O1" s="236" t="s">
        <v>3819</v>
      </c>
      <c r="P1" s="236" t="s">
        <v>3820</v>
      </c>
      <c r="Q1" s="236" t="s">
        <v>3821</v>
      </c>
      <c r="R1" s="236" t="s">
        <v>3822</v>
      </c>
      <c r="S1" s="236" t="s">
        <v>3823</v>
      </c>
      <c r="T1" s="236" t="s">
        <v>3824</v>
      </c>
      <c r="U1" s="236" t="s">
        <v>3825</v>
      </c>
      <c r="V1" s="236" t="s">
        <v>3826</v>
      </c>
      <c r="W1" s="236" t="s">
        <v>3827</v>
      </c>
      <c r="X1" s="519" t="s">
        <v>2351</v>
      </c>
    </row>
    <row r="2" spans="1:24">
      <c r="A2" t="str">
        <f>IF(OR(I2&gt;0,N2&gt;0),基础信息!$B$1,"")</f>
        <v/>
      </c>
      <c r="B2" s="255"/>
      <c r="C2" s="276"/>
      <c r="D2" s="276"/>
      <c r="E2" s="255"/>
      <c r="F2" s="255"/>
      <c r="G2" s="255"/>
      <c r="H2" s="255"/>
      <c r="I2" s="369"/>
      <c r="J2" s="369"/>
      <c r="K2" s="255"/>
      <c r="L2" s="255"/>
      <c r="M2" s="255"/>
      <c r="N2" s="276">
        <f>I2+K2+L2-M2</f>
        <v>0</v>
      </c>
      <c r="O2" s="255"/>
      <c r="P2" s="255"/>
      <c r="Q2" s="255"/>
      <c r="R2" s="255"/>
      <c r="S2" s="255"/>
      <c r="T2" s="255"/>
      <c r="U2" s="255"/>
      <c r="V2" s="255"/>
      <c r="W2" s="255"/>
      <c r="X2" s="229">
        <f>SUM(Q2:V2)-W2-N2</f>
        <v>0</v>
      </c>
    </row>
    <row r="3" spans="1:24">
      <c r="A3" t="str">
        <f>IF(OR(I3&gt;0,N3&gt;0),基础信息!$B$1,"")</f>
        <v/>
      </c>
      <c r="B3" s="255"/>
      <c r="C3" s="276"/>
      <c r="D3" s="276"/>
      <c r="E3" s="255"/>
      <c r="F3" s="255"/>
      <c r="G3" s="255"/>
      <c r="H3" s="255"/>
      <c r="I3" s="369"/>
      <c r="J3" s="369"/>
      <c r="K3" s="255"/>
      <c r="L3" s="255"/>
      <c r="M3" s="255"/>
      <c r="N3" s="276">
        <f t="shared" ref="N3:N21" si="0">I3+K3+L3-M3</f>
        <v>0</v>
      </c>
      <c r="O3" s="255"/>
      <c r="P3" s="255"/>
      <c r="Q3" s="255"/>
      <c r="R3" s="255"/>
      <c r="S3" s="255"/>
      <c r="T3" s="255"/>
      <c r="U3" s="255"/>
      <c r="V3" s="255"/>
      <c r="W3" s="255"/>
      <c r="X3" s="229">
        <f t="shared" ref="X3:X21" si="1">SUM(Q3:V3)-W3-N3</f>
        <v>0</v>
      </c>
    </row>
    <row r="4" spans="1:24">
      <c r="A4" t="str">
        <f>IF(OR(I4&gt;0,N4&gt;0),基础信息!$B$1,"")</f>
        <v/>
      </c>
      <c r="B4" s="255"/>
      <c r="C4" s="276"/>
      <c r="D4" s="276"/>
      <c r="E4" s="255"/>
      <c r="F4" s="255"/>
      <c r="G4" s="255"/>
      <c r="H4" s="255"/>
      <c r="I4" s="369"/>
      <c r="J4" s="369"/>
      <c r="K4" s="255"/>
      <c r="L4" s="255"/>
      <c r="M4" s="255"/>
      <c r="N4" s="276">
        <f t="shared" si="0"/>
        <v>0</v>
      </c>
      <c r="O4" s="255"/>
      <c r="P4" s="255"/>
      <c r="Q4" s="255"/>
      <c r="R4" s="255"/>
      <c r="S4" s="255"/>
      <c r="T4" s="255"/>
      <c r="U4" s="255"/>
      <c r="V4" s="255"/>
      <c r="W4" s="255"/>
      <c r="X4" s="229">
        <f t="shared" si="1"/>
        <v>0</v>
      </c>
    </row>
    <row r="5" spans="1:24">
      <c r="A5" t="str">
        <f>IF(OR(I5&gt;0,N5&gt;0),基础信息!$B$1,"")</f>
        <v/>
      </c>
      <c r="B5" s="255"/>
      <c r="C5" s="276"/>
      <c r="D5" s="276"/>
      <c r="E5" s="255"/>
      <c r="F5" s="255"/>
      <c r="G5" s="255"/>
      <c r="H5" s="255"/>
      <c r="I5" s="369"/>
      <c r="J5" s="369"/>
      <c r="K5" s="255"/>
      <c r="L5" s="255"/>
      <c r="M5" s="255"/>
      <c r="N5" s="276">
        <f t="shared" si="0"/>
        <v>0</v>
      </c>
      <c r="O5" s="255"/>
      <c r="P5" s="255"/>
      <c r="Q5" s="255"/>
      <c r="R5" s="255"/>
      <c r="S5" s="255"/>
      <c r="T5" s="255"/>
      <c r="U5" s="255"/>
      <c r="V5" s="255"/>
      <c r="W5" s="255"/>
      <c r="X5" s="229">
        <f t="shared" si="1"/>
        <v>0</v>
      </c>
    </row>
    <row r="6" spans="1:24">
      <c r="A6" t="str">
        <f>IF(OR(I6&gt;0,N6&gt;0),基础信息!$B$1,"")</f>
        <v/>
      </c>
      <c r="B6" s="255"/>
      <c r="C6" s="276"/>
      <c r="D6" s="276"/>
      <c r="E6" s="255"/>
      <c r="F6" s="255"/>
      <c r="G6" s="255"/>
      <c r="H6" s="255"/>
      <c r="I6" s="369"/>
      <c r="J6" s="369"/>
      <c r="K6" s="255"/>
      <c r="L6" s="255"/>
      <c r="M6" s="255"/>
      <c r="N6" s="276">
        <f t="shared" si="0"/>
        <v>0</v>
      </c>
      <c r="O6" s="255"/>
      <c r="P6" s="255"/>
      <c r="Q6" s="255"/>
      <c r="R6" s="255"/>
      <c r="S6" s="255"/>
      <c r="T6" s="255"/>
      <c r="U6" s="255"/>
      <c r="V6" s="255"/>
      <c r="W6" s="255"/>
      <c r="X6" s="229">
        <f t="shared" si="1"/>
        <v>0</v>
      </c>
    </row>
    <row r="7" spans="1:24">
      <c r="A7" t="str">
        <f>IF(OR(I7&gt;0,N7&gt;0),基础信息!$B$1,"")</f>
        <v/>
      </c>
      <c r="B7" s="255"/>
      <c r="C7" s="276"/>
      <c r="D7" s="276"/>
      <c r="E7" s="255"/>
      <c r="F7" s="255"/>
      <c r="G7" s="255"/>
      <c r="H7" s="255"/>
      <c r="I7" s="369"/>
      <c r="J7" s="369"/>
      <c r="K7" s="255"/>
      <c r="L7" s="255"/>
      <c r="M7" s="255"/>
      <c r="N7" s="276">
        <f t="shared" si="0"/>
        <v>0</v>
      </c>
      <c r="O7" s="255"/>
      <c r="P7" s="255"/>
      <c r="Q7" s="255"/>
      <c r="R7" s="255"/>
      <c r="S7" s="255"/>
      <c r="T7" s="255"/>
      <c r="U7" s="255"/>
      <c r="V7" s="255"/>
      <c r="W7" s="255"/>
      <c r="X7" s="229">
        <f t="shared" si="1"/>
        <v>0</v>
      </c>
    </row>
    <row r="8" spans="1:24">
      <c r="A8" t="str">
        <f>IF(OR(I8&gt;0,N8&gt;0),基础信息!$B$1,"")</f>
        <v/>
      </c>
      <c r="B8" s="255"/>
      <c r="C8" s="276"/>
      <c r="D8" s="276"/>
      <c r="E8" s="255"/>
      <c r="F8" s="255"/>
      <c r="G8" s="255"/>
      <c r="H8" s="255"/>
      <c r="I8" s="369"/>
      <c r="J8" s="369"/>
      <c r="K8" s="255"/>
      <c r="L8" s="255"/>
      <c r="M8" s="255"/>
      <c r="N8" s="276">
        <f t="shared" si="0"/>
        <v>0</v>
      </c>
      <c r="O8" s="255"/>
      <c r="P8" s="255"/>
      <c r="Q8" s="255"/>
      <c r="R8" s="255"/>
      <c r="S8" s="255"/>
      <c r="T8" s="255"/>
      <c r="U8" s="255"/>
      <c r="V8" s="255"/>
      <c r="W8" s="255"/>
      <c r="X8" s="229">
        <f t="shared" si="1"/>
        <v>0</v>
      </c>
    </row>
    <row r="9" spans="1:24">
      <c r="A9" t="str">
        <f>IF(OR(I9&gt;0,N9&gt;0),基础信息!$B$1,"")</f>
        <v/>
      </c>
      <c r="B9" s="255"/>
      <c r="C9" s="276"/>
      <c r="D9" s="276"/>
      <c r="E9" s="255"/>
      <c r="F9" s="255"/>
      <c r="G9" s="255"/>
      <c r="H9" s="255"/>
      <c r="I9" s="369"/>
      <c r="J9" s="369"/>
      <c r="K9" s="255"/>
      <c r="L9" s="255"/>
      <c r="M9" s="255"/>
      <c r="N9" s="276">
        <f t="shared" si="0"/>
        <v>0</v>
      </c>
      <c r="O9" s="255"/>
      <c r="P9" s="255"/>
      <c r="Q9" s="255"/>
      <c r="R9" s="255"/>
      <c r="S9" s="255"/>
      <c r="T9" s="255"/>
      <c r="U9" s="255"/>
      <c r="V9" s="255"/>
      <c r="W9" s="255"/>
      <c r="X9" s="229">
        <f t="shared" si="1"/>
        <v>0</v>
      </c>
    </row>
    <row r="10" spans="1:24">
      <c r="A10" t="str">
        <f>IF(OR(I10&gt;0,N10&gt;0),基础信息!$B$1,"")</f>
        <v/>
      </c>
      <c r="B10" s="255"/>
      <c r="C10" s="276"/>
      <c r="D10" s="276"/>
      <c r="E10" s="255"/>
      <c r="F10" s="255"/>
      <c r="G10" s="255"/>
      <c r="H10" s="255"/>
      <c r="I10" s="369"/>
      <c r="J10" s="369"/>
      <c r="K10" s="255"/>
      <c r="L10" s="255"/>
      <c r="M10" s="255"/>
      <c r="N10" s="276">
        <f t="shared" si="0"/>
        <v>0</v>
      </c>
      <c r="O10" s="255"/>
      <c r="P10" s="255"/>
      <c r="Q10" s="255"/>
      <c r="R10" s="255"/>
      <c r="S10" s="255"/>
      <c r="T10" s="255"/>
      <c r="U10" s="255"/>
      <c r="V10" s="255"/>
      <c r="W10" s="255"/>
      <c r="X10" s="229">
        <f t="shared" si="1"/>
        <v>0</v>
      </c>
    </row>
    <row r="11" spans="1:24">
      <c r="A11" t="str">
        <f>IF(OR(I11&gt;0,N11&gt;0),基础信息!$B$1,"")</f>
        <v/>
      </c>
      <c r="B11" s="255"/>
      <c r="C11" s="276"/>
      <c r="D11" s="276"/>
      <c r="E11" s="255"/>
      <c r="F11" s="255"/>
      <c r="G11" s="255"/>
      <c r="H11" s="255"/>
      <c r="I11" s="369"/>
      <c r="J11" s="369"/>
      <c r="K11" s="255"/>
      <c r="L11" s="255"/>
      <c r="M11" s="255"/>
      <c r="N11" s="276">
        <f t="shared" si="0"/>
        <v>0</v>
      </c>
      <c r="O11" s="255"/>
      <c r="P11" s="255"/>
      <c r="Q11" s="255"/>
      <c r="R11" s="255"/>
      <c r="S11" s="255"/>
      <c r="T11" s="255"/>
      <c r="U11" s="255"/>
      <c r="V11" s="255"/>
      <c r="W11" s="255"/>
      <c r="X11" s="229">
        <f t="shared" si="1"/>
        <v>0</v>
      </c>
    </row>
    <row r="12" spans="1:24">
      <c r="A12" t="str">
        <f>IF(OR(I12&gt;0,N12&gt;0),基础信息!$B$1,"")</f>
        <v/>
      </c>
      <c r="B12" s="255"/>
      <c r="C12" s="276"/>
      <c r="D12" s="276"/>
      <c r="E12" s="255"/>
      <c r="F12" s="255"/>
      <c r="G12" s="255"/>
      <c r="H12" s="255"/>
      <c r="I12" s="369"/>
      <c r="J12" s="369"/>
      <c r="K12" s="255"/>
      <c r="L12" s="255"/>
      <c r="M12" s="255"/>
      <c r="N12" s="276">
        <f t="shared" si="0"/>
        <v>0</v>
      </c>
      <c r="O12" s="255"/>
      <c r="P12" s="255"/>
      <c r="Q12" s="255"/>
      <c r="R12" s="255"/>
      <c r="S12" s="255"/>
      <c r="T12" s="255"/>
      <c r="U12" s="255"/>
      <c r="V12" s="255"/>
      <c r="W12" s="255"/>
      <c r="X12" s="229">
        <f t="shared" si="1"/>
        <v>0</v>
      </c>
    </row>
    <row r="13" spans="1:24">
      <c r="A13" t="str">
        <f>IF(OR(I13&gt;0,N13&gt;0),基础信息!$B$1,"")</f>
        <v/>
      </c>
      <c r="B13" s="255"/>
      <c r="C13" s="276"/>
      <c r="D13" s="276"/>
      <c r="E13" s="255"/>
      <c r="F13" s="255"/>
      <c r="G13" s="255"/>
      <c r="H13" s="255"/>
      <c r="I13" s="369"/>
      <c r="J13" s="369"/>
      <c r="K13" s="255"/>
      <c r="L13" s="255"/>
      <c r="M13" s="255"/>
      <c r="N13" s="276">
        <f t="shared" si="0"/>
        <v>0</v>
      </c>
      <c r="O13" s="255"/>
      <c r="P13" s="255"/>
      <c r="Q13" s="255"/>
      <c r="R13" s="255"/>
      <c r="S13" s="255"/>
      <c r="T13" s="255"/>
      <c r="U13" s="255"/>
      <c r="V13" s="255"/>
      <c r="W13" s="255"/>
      <c r="X13" s="229">
        <f t="shared" si="1"/>
        <v>0</v>
      </c>
    </row>
    <row r="14" spans="1:24">
      <c r="A14" t="str">
        <f>IF(OR(I14&gt;0,N14&gt;0),基础信息!$B$1,"")</f>
        <v/>
      </c>
      <c r="B14" s="255"/>
      <c r="C14" s="276"/>
      <c r="D14" s="276"/>
      <c r="E14" s="255"/>
      <c r="F14" s="255"/>
      <c r="G14" s="255"/>
      <c r="H14" s="255"/>
      <c r="I14" s="369"/>
      <c r="J14" s="369"/>
      <c r="K14" s="255"/>
      <c r="L14" s="255"/>
      <c r="M14" s="255"/>
      <c r="N14" s="276">
        <f t="shared" si="0"/>
        <v>0</v>
      </c>
      <c r="O14" s="255"/>
      <c r="P14" s="255"/>
      <c r="Q14" s="255"/>
      <c r="R14" s="255"/>
      <c r="S14" s="255"/>
      <c r="T14" s="255"/>
      <c r="U14" s="255"/>
      <c r="V14" s="255"/>
      <c r="W14" s="255"/>
      <c r="X14" s="229">
        <f t="shared" si="1"/>
        <v>0</v>
      </c>
    </row>
    <row r="15" spans="1:24">
      <c r="A15" t="str">
        <f>IF(OR(I15&gt;0,N15&gt;0),基础信息!$B$1,"")</f>
        <v/>
      </c>
      <c r="B15" s="255"/>
      <c r="C15" s="276"/>
      <c r="D15" s="276"/>
      <c r="E15" s="255"/>
      <c r="F15" s="255"/>
      <c r="G15" s="255"/>
      <c r="H15" s="255"/>
      <c r="I15" s="369"/>
      <c r="J15" s="369"/>
      <c r="K15" s="255"/>
      <c r="L15" s="255"/>
      <c r="M15" s="255"/>
      <c r="N15" s="276">
        <f t="shared" si="0"/>
        <v>0</v>
      </c>
      <c r="O15" s="255"/>
      <c r="P15" s="255"/>
      <c r="Q15" s="255"/>
      <c r="R15" s="255"/>
      <c r="S15" s="255"/>
      <c r="T15" s="255"/>
      <c r="U15" s="255"/>
      <c r="V15" s="255"/>
      <c r="W15" s="255"/>
      <c r="X15" s="229">
        <f t="shared" si="1"/>
        <v>0</v>
      </c>
    </row>
    <row r="16" spans="1:24">
      <c r="A16" t="str">
        <f>IF(OR(I16&gt;0,N16&gt;0),基础信息!$B$1,"")</f>
        <v/>
      </c>
      <c r="B16" s="255"/>
      <c r="C16" s="276"/>
      <c r="D16" s="276"/>
      <c r="E16" s="255"/>
      <c r="F16" s="255"/>
      <c r="G16" s="255"/>
      <c r="H16" s="255"/>
      <c r="I16" s="369"/>
      <c r="J16" s="369"/>
      <c r="K16" s="255"/>
      <c r="L16" s="255"/>
      <c r="M16" s="255"/>
      <c r="N16" s="276">
        <f t="shared" si="0"/>
        <v>0</v>
      </c>
      <c r="O16" s="255"/>
      <c r="P16" s="255"/>
      <c r="Q16" s="255"/>
      <c r="R16" s="255"/>
      <c r="S16" s="255"/>
      <c r="T16" s="255"/>
      <c r="U16" s="255"/>
      <c r="V16" s="255"/>
      <c r="W16" s="255"/>
      <c r="X16" s="229">
        <f t="shared" si="1"/>
        <v>0</v>
      </c>
    </row>
    <row r="17" spans="1:24">
      <c r="A17" t="str">
        <f>IF(OR(I17&gt;0,N17&gt;0),基础信息!$B$1,"")</f>
        <v/>
      </c>
      <c r="B17" s="255"/>
      <c r="C17" s="276"/>
      <c r="D17" s="276"/>
      <c r="E17" s="255"/>
      <c r="F17" s="255"/>
      <c r="G17" s="255"/>
      <c r="H17" s="255"/>
      <c r="I17" s="369"/>
      <c r="J17" s="369"/>
      <c r="K17" s="255"/>
      <c r="L17" s="255"/>
      <c r="M17" s="255"/>
      <c r="N17" s="276">
        <f t="shared" si="0"/>
        <v>0</v>
      </c>
      <c r="O17" s="255"/>
      <c r="P17" s="255"/>
      <c r="Q17" s="255"/>
      <c r="R17" s="255"/>
      <c r="S17" s="255"/>
      <c r="T17" s="255"/>
      <c r="U17" s="255"/>
      <c r="V17" s="255"/>
      <c r="W17" s="255"/>
      <c r="X17" s="229">
        <f t="shared" si="1"/>
        <v>0</v>
      </c>
    </row>
    <row r="18" spans="1:24">
      <c r="A18" t="str">
        <f>IF(OR(I18&gt;0,N18&gt;0),基础信息!$B$1,"")</f>
        <v/>
      </c>
      <c r="B18" s="255"/>
      <c r="C18" s="276"/>
      <c r="D18" s="276"/>
      <c r="E18" s="255"/>
      <c r="F18" s="255"/>
      <c r="G18" s="255"/>
      <c r="H18" s="255"/>
      <c r="I18" s="369"/>
      <c r="J18" s="369"/>
      <c r="K18" s="255"/>
      <c r="L18" s="255"/>
      <c r="M18" s="255"/>
      <c r="N18" s="276">
        <f t="shared" si="0"/>
        <v>0</v>
      </c>
      <c r="O18" s="255"/>
      <c r="P18" s="255"/>
      <c r="Q18" s="255"/>
      <c r="R18" s="255"/>
      <c r="S18" s="255"/>
      <c r="T18" s="255"/>
      <c r="U18" s="255"/>
      <c r="V18" s="255"/>
      <c r="W18" s="255"/>
      <c r="X18" s="229">
        <f t="shared" si="1"/>
        <v>0</v>
      </c>
    </row>
    <row r="19" spans="1:24">
      <c r="A19" t="str">
        <f>IF(OR(I19&gt;0,N19&gt;0),基础信息!$B$1,"")</f>
        <v/>
      </c>
      <c r="B19" s="255"/>
      <c r="C19" s="276"/>
      <c r="D19" s="276"/>
      <c r="E19" s="255"/>
      <c r="F19" s="255"/>
      <c r="G19" s="255"/>
      <c r="H19" s="255"/>
      <c r="I19" s="369"/>
      <c r="J19" s="369"/>
      <c r="K19" s="255"/>
      <c r="L19" s="255"/>
      <c r="M19" s="255"/>
      <c r="N19" s="276">
        <f t="shared" si="0"/>
        <v>0</v>
      </c>
      <c r="O19" s="255"/>
      <c r="P19" s="255"/>
      <c r="Q19" s="255"/>
      <c r="R19" s="255"/>
      <c r="S19" s="255"/>
      <c r="T19" s="255"/>
      <c r="U19" s="255"/>
      <c r="V19" s="255"/>
      <c r="W19" s="255"/>
      <c r="X19" s="229">
        <f t="shared" si="1"/>
        <v>0</v>
      </c>
    </row>
    <row r="20" spans="1:24">
      <c r="A20" t="str">
        <f>IF(OR(I20&gt;0,N20&gt;0),基础信息!$B$1,"")</f>
        <v/>
      </c>
      <c r="B20" s="255"/>
      <c r="C20" s="276"/>
      <c r="D20" s="276"/>
      <c r="E20" s="255"/>
      <c r="F20" s="255"/>
      <c r="G20" s="255"/>
      <c r="H20" s="255"/>
      <c r="I20" s="369"/>
      <c r="J20" s="369"/>
      <c r="K20" s="255"/>
      <c r="L20" s="255"/>
      <c r="M20" s="255"/>
      <c r="N20" s="276">
        <f t="shared" si="0"/>
        <v>0</v>
      </c>
      <c r="O20" s="255"/>
      <c r="P20" s="255"/>
      <c r="Q20" s="255"/>
      <c r="R20" s="255"/>
      <c r="S20" s="255"/>
      <c r="T20" s="255"/>
      <c r="U20" s="255"/>
      <c r="V20" s="255"/>
      <c r="W20" s="255"/>
      <c r="X20" s="229">
        <f t="shared" si="1"/>
        <v>0</v>
      </c>
    </row>
    <row r="21" spans="1:24">
      <c r="A21" t="str">
        <f>IF(OR(I21&gt;0,N21&gt;0),基础信息!$B$1,"")</f>
        <v/>
      </c>
      <c r="B21" s="255"/>
      <c r="C21" s="276"/>
      <c r="D21" s="276"/>
      <c r="E21" s="255"/>
      <c r="F21" s="255"/>
      <c r="G21" s="255"/>
      <c r="H21" s="255"/>
      <c r="I21" s="369"/>
      <c r="J21" s="369"/>
      <c r="K21" s="255"/>
      <c r="L21" s="255"/>
      <c r="M21" s="255"/>
      <c r="N21" s="276">
        <f t="shared" si="0"/>
        <v>0</v>
      </c>
      <c r="O21" s="255"/>
      <c r="P21" s="255"/>
      <c r="Q21" s="255"/>
      <c r="R21" s="255"/>
      <c r="S21" s="255"/>
      <c r="T21" s="255"/>
      <c r="U21" s="255"/>
      <c r="V21" s="255"/>
      <c r="W21" s="255"/>
      <c r="X21" s="229">
        <f t="shared" si="1"/>
        <v>0</v>
      </c>
    </row>
    <row r="22" spans="1:24">
      <c r="A22" t="str">
        <f>IF(OR(I22&gt;0,N22&gt;0),基础信息!$B$1,"")</f>
        <v/>
      </c>
      <c r="B22" s="255"/>
      <c r="C22" s="276"/>
      <c r="D22" s="276"/>
      <c r="E22" s="255"/>
      <c r="F22" s="255"/>
      <c r="G22" s="255"/>
      <c r="H22" s="255"/>
      <c r="I22" s="369"/>
      <c r="J22" s="369"/>
      <c r="K22" s="255"/>
      <c r="L22" s="255"/>
      <c r="M22" s="255"/>
      <c r="N22" s="276">
        <f t="shared" ref="N22" si="2">I22+K22+L22-M22</f>
        <v>0</v>
      </c>
      <c r="O22" s="255"/>
      <c r="P22" s="255"/>
      <c r="Q22" s="255"/>
      <c r="R22" s="255"/>
      <c r="S22" s="255"/>
      <c r="T22" s="255"/>
      <c r="U22" s="255"/>
      <c r="V22" s="255"/>
      <c r="W22" s="255"/>
      <c r="X22" s="229">
        <f t="shared" ref="X22" si="3">SUM(Q22:V22)-W22-N22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5567865-0D08-4AC1-915D-FBFB6BE9ACFA}">
          <x14:formula1>
            <xm:f>分类表!$42:$42</xm:f>
          </x14:formula1>
          <xm:sqref>C2:C22</xm:sqref>
        </x14:dataValidation>
        <x14:dataValidation type="list" allowBlank="1" showInputMessage="1" showErrorMessage="1" xr:uid="{99583313-6447-4699-BCA3-9F7419EF8DFF}">
          <x14:formula1>
            <xm:f>分类表!$9:$9</xm:f>
          </x14:formula1>
          <xm:sqref>D2:D22</xm:sqref>
        </x14:dataValidation>
      </x14:dataValidations>
    </ext>
  </extLst>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codeName="Sheet292">
    <tabColor rgb="FFFFC000"/>
  </sheetPr>
  <dimension ref="A1:F12"/>
  <sheetViews>
    <sheetView workbookViewId="0">
      <selection activeCell="A6" sqref="A6"/>
    </sheetView>
  </sheetViews>
  <sheetFormatPr defaultRowHeight="13.8"/>
  <cols>
    <col min="1" max="16384" width="8.88671875" style="18"/>
  </cols>
  <sheetData>
    <row r="1" spans="1:6" ht="14.4">
      <c r="A1" s="19" t="s">
        <v>28</v>
      </c>
      <c r="B1" s="20" t="s">
        <v>265</v>
      </c>
      <c r="C1" s="20" t="s">
        <v>359</v>
      </c>
      <c r="D1" s="20" t="s">
        <v>477</v>
      </c>
      <c r="E1" s="20" t="s">
        <v>203</v>
      </c>
      <c r="F1" s="20" t="s">
        <v>571</v>
      </c>
    </row>
    <row r="2" spans="1:6" ht="14.4">
      <c r="A2" s="601">
        <f>专项应付款明细表!B2</f>
        <v>0</v>
      </c>
      <c r="B2" s="293">
        <f>专项应付款明细表!G2</f>
        <v>0</v>
      </c>
      <c r="C2" s="293">
        <f>专项应付款明细表!I2+专项应付款明细表!H2</f>
        <v>0</v>
      </c>
      <c r="D2" s="293">
        <f>专项应付款明细表!J2</f>
        <v>0</v>
      </c>
      <c r="E2" s="293">
        <f>B2+C2-D2</f>
        <v>0</v>
      </c>
      <c r="F2" s="601">
        <f>专项应付款明细表!L2</f>
        <v>0</v>
      </c>
    </row>
    <row r="3" spans="1:6" ht="14.4">
      <c r="A3" s="601">
        <f>专项应付款明细表!B3</f>
        <v>0</v>
      </c>
      <c r="B3" s="293">
        <f>专项应付款明细表!G3</f>
        <v>0</v>
      </c>
      <c r="C3" s="293">
        <f>专项应付款明细表!I3+专项应付款明细表!H3</f>
        <v>0</v>
      </c>
      <c r="D3" s="293">
        <f>专项应付款明细表!J3</f>
        <v>0</v>
      </c>
      <c r="E3" s="293">
        <f t="shared" ref="E3:E11" si="0">B3+C3-D3</f>
        <v>0</v>
      </c>
      <c r="F3" s="601">
        <f>专项应付款明细表!L3</f>
        <v>0</v>
      </c>
    </row>
    <row r="4" spans="1:6" ht="14.4">
      <c r="A4" s="601">
        <f>专项应付款明细表!B4</f>
        <v>0</v>
      </c>
      <c r="B4" s="293">
        <f>专项应付款明细表!G4</f>
        <v>0</v>
      </c>
      <c r="C4" s="293">
        <f>专项应付款明细表!I4+专项应付款明细表!H4</f>
        <v>0</v>
      </c>
      <c r="D4" s="293">
        <f>专项应付款明细表!J4</f>
        <v>0</v>
      </c>
      <c r="E4" s="293">
        <f t="shared" si="0"/>
        <v>0</v>
      </c>
      <c r="F4" s="601">
        <f>专项应付款明细表!L4</f>
        <v>0</v>
      </c>
    </row>
    <row r="5" spans="1:6" ht="14.4">
      <c r="A5" s="601">
        <f>专项应付款明细表!B5</f>
        <v>0</v>
      </c>
      <c r="B5" s="293">
        <f>专项应付款明细表!G5</f>
        <v>0</v>
      </c>
      <c r="C5" s="293">
        <f>专项应付款明细表!I5+专项应付款明细表!H5</f>
        <v>0</v>
      </c>
      <c r="D5" s="293">
        <f>专项应付款明细表!J5</f>
        <v>0</v>
      </c>
      <c r="E5" s="293">
        <f t="shared" si="0"/>
        <v>0</v>
      </c>
      <c r="F5" s="601">
        <f>专项应付款明细表!L5</f>
        <v>0</v>
      </c>
    </row>
    <row r="6" spans="1:6" ht="14.4">
      <c r="A6" s="601">
        <f>专项应付款明细表!B6</f>
        <v>0</v>
      </c>
      <c r="B6" s="293">
        <f>专项应付款明细表!G6</f>
        <v>0</v>
      </c>
      <c r="C6" s="293">
        <f>专项应付款明细表!I6+专项应付款明细表!H6</f>
        <v>0</v>
      </c>
      <c r="D6" s="293">
        <f>专项应付款明细表!J6</f>
        <v>0</v>
      </c>
      <c r="E6" s="293">
        <f t="shared" si="0"/>
        <v>0</v>
      </c>
      <c r="F6" s="601">
        <f>专项应付款明细表!L6</f>
        <v>0</v>
      </c>
    </row>
    <row r="7" spans="1:6" ht="14.4">
      <c r="A7" s="601">
        <f>专项应付款明细表!B7</f>
        <v>0</v>
      </c>
      <c r="B7" s="293">
        <f>专项应付款明细表!G7</f>
        <v>0</v>
      </c>
      <c r="C7" s="293">
        <f>专项应付款明细表!I7+专项应付款明细表!H7</f>
        <v>0</v>
      </c>
      <c r="D7" s="293">
        <f>专项应付款明细表!J7</f>
        <v>0</v>
      </c>
      <c r="E7" s="293">
        <f t="shared" si="0"/>
        <v>0</v>
      </c>
      <c r="F7" s="601">
        <f>专项应付款明细表!L7</f>
        <v>0</v>
      </c>
    </row>
    <row r="8" spans="1:6" ht="14.4">
      <c r="A8" s="601">
        <f>专项应付款明细表!B8</f>
        <v>0</v>
      </c>
      <c r="B8" s="293">
        <f>专项应付款明细表!G8</f>
        <v>0</v>
      </c>
      <c r="C8" s="293">
        <f>专项应付款明细表!I8+专项应付款明细表!H8</f>
        <v>0</v>
      </c>
      <c r="D8" s="293">
        <f>专项应付款明细表!J8</f>
        <v>0</v>
      </c>
      <c r="E8" s="293">
        <f t="shared" si="0"/>
        <v>0</v>
      </c>
      <c r="F8" s="601">
        <f>专项应付款明细表!L8</f>
        <v>0</v>
      </c>
    </row>
    <row r="9" spans="1:6" ht="14.4">
      <c r="A9" s="601">
        <f>专项应付款明细表!B9</f>
        <v>0</v>
      </c>
      <c r="B9" s="293">
        <f>专项应付款明细表!G9</f>
        <v>0</v>
      </c>
      <c r="C9" s="293">
        <f>专项应付款明细表!I9+专项应付款明细表!H9</f>
        <v>0</v>
      </c>
      <c r="D9" s="293">
        <f>专项应付款明细表!J9</f>
        <v>0</v>
      </c>
      <c r="E9" s="293">
        <f t="shared" si="0"/>
        <v>0</v>
      </c>
      <c r="F9" s="601">
        <f>专项应付款明细表!L9</f>
        <v>0</v>
      </c>
    </row>
    <row r="10" spans="1:6" ht="14.4">
      <c r="A10" s="601">
        <f>专项应付款明细表!B10</f>
        <v>0</v>
      </c>
      <c r="B10" s="293">
        <f>专项应付款明细表!G10</f>
        <v>0</v>
      </c>
      <c r="C10" s="293">
        <f>专项应付款明细表!I10+专项应付款明细表!H10</f>
        <v>0</v>
      </c>
      <c r="D10" s="293">
        <f>专项应付款明细表!J10</f>
        <v>0</v>
      </c>
      <c r="E10" s="293">
        <f t="shared" si="0"/>
        <v>0</v>
      </c>
      <c r="F10" s="601">
        <f>专项应付款明细表!L10</f>
        <v>0</v>
      </c>
    </row>
    <row r="11" spans="1:6" ht="14.4">
      <c r="A11" s="601">
        <f>专项应付款明细表!B11</f>
        <v>0</v>
      </c>
      <c r="B11" s="293">
        <f>专项应付款明细表!G11</f>
        <v>0</v>
      </c>
      <c r="C11" s="293">
        <f>专项应付款明细表!I11+专项应付款明细表!H11</f>
        <v>0</v>
      </c>
      <c r="D11" s="293">
        <f>专项应付款明细表!J11</f>
        <v>0</v>
      </c>
      <c r="E11" s="293">
        <f t="shared" si="0"/>
        <v>0</v>
      </c>
      <c r="F11" s="601">
        <f>专项应付款明细表!L11</f>
        <v>0</v>
      </c>
    </row>
    <row r="12" spans="1:6" ht="14.4">
      <c r="A12" s="601" t="s">
        <v>2404</v>
      </c>
      <c r="B12" s="293">
        <f>SUM(B2:B11)</f>
        <v>0</v>
      </c>
      <c r="C12" s="293">
        <f t="shared" ref="C12:E12" si="1">SUM(C2:C11)</f>
        <v>0</v>
      </c>
      <c r="D12" s="293">
        <f t="shared" si="1"/>
        <v>0</v>
      </c>
      <c r="E12" s="293">
        <f t="shared" si="1"/>
        <v>0</v>
      </c>
      <c r="F12" s="601"/>
    </row>
  </sheetData>
  <phoneticPr fontId="1" type="noConversion"/>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762F-C7EA-4F51-96CE-960CC5D3A01F}">
  <sheetPr codeName="Sheet293"/>
  <dimension ref="A1:L19"/>
  <sheetViews>
    <sheetView workbookViewId="0">
      <selection activeCell="J25" sqref="J25"/>
    </sheetView>
  </sheetViews>
  <sheetFormatPr defaultRowHeight="13.8"/>
  <cols>
    <col min="1" max="1" width="9.5546875" bestFit="1" customWidth="1"/>
    <col min="2" max="2" width="5.5546875" bestFit="1" customWidth="1"/>
    <col min="3" max="3" width="9.5546875" bestFit="1" customWidth="1"/>
    <col min="4" max="4" width="5.5546875" bestFit="1" customWidth="1"/>
    <col min="5" max="6" width="7.5546875" bestFit="1" customWidth="1"/>
    <col min="7" max="7" width="9.5546875" bestFit="1" customWidth="1"/>
    <col min="8" max="8" width="35.88671875" bestFit="1" customWidth="1"/>
    <col min="9" max="11" width="9.5546875" bestFit="1" customWidth="1"/>
    <col min="12" max="12" width="5.5546875" bestFit="1" customWidth="1"/>
  </cols>
  <sheetData>
    <row r="1" spans="1:12">
      <c r="A1" t="s">
        <v>2383</v>
      </c>
      <c r="B1" t="s">
        <v>28</v>
      </c>
      <c r="C1" t="s">
        <v>3811</v>
      </c>
      <c r="D1" t="s">
        <v>3812</v>
      </c>
      <c r="E1" t="s">
        <v>3813</v>
      </c>
      <c r="F1" t="s">
        <v>3814</v>
      </c>
      <c r="G1" t="s">
        <v>578</v>
      </c>
      <c r="H1" t="s">
        <v>3591</v>
      </c>
      <c r="I1" t="s">
        <v>3817</v>
      </c>
      <c r="J1" t="s">
        <v>3818</v>
      </c>
      <c r="K1" t="s">
        <v>390</v>
      </c>
      <c r="L1" t="s">
        <v>3828</v>
      </c>
    </row>
    <row r="2" spans="1:12">
      <c r="A2" t="str">
        <f>IF(OR(G2&gt;0,K2&gt;0),基础信息!$B$1,"")</f>
        <v/>
      </c>
      <c r="B2" s="255"/>
      <c r="C2" s="255"/>
      <c r="D2" s="255"/>
      <c r="E2" s="255"/>
      <c r="F2" s="255"/>
      <c r="G2" s="255"/>
      <c r="H2" s="255"/>
      <c r="I2" s="255"/>
      <c r="J2" s="255"/>
      <c r="K2">
        <f>G2+H2+I2-J2</f>
        <v>0</v>
      </c>
      <c r="L2" s="255"/>
    </row>
    <row r="3" spans="1:12">
      <c r="A3" t="str">
        <f>IF(OR(G3&gt;0,K3&gt;0),基础信息!$B$1,"")</f>
        <v/>
      </c>
      <c r="B3" s="255"/>
      <c r="C3" s="255"/>
      <c r="D3" s="255"/>
      <c r="E3" s="255"/>
      <c r="F3" s="255"/>
      <c r="G3" s="255"/>
      <c r="H3" s="255"/>
      <c r="I3" s="255"/>
      <c r="J3" s="255"/>
      <c r="K3">
        <f t="shared" ref="K3:K17" si="0">G3+H3+I3-J3</f>
        <v>0</v>
      </c>
      <c r="L3" s="255"/>
    </row>
    <row r="4" spans="1:12">
      <c r="A4" t="str">
        <f>IF(OR(G4&gt;0,K4&gt;0),基础信息!$B$1,"")</f>
        <v/>
      </c>
      <c r="B4" s="255"/>
      <c r="C4" s="255"/>
      <c r="D4" s="255"/>
      <c r="E4" s="255"/>
      <c r="F4" s="255"/>
      <c r="G4" s="255"/>
      <c r="H4" s="255"/>
      <c r="I4" s="255"/>
      <c r="J4" s="255"/>
      <c r="K4">
        <f t="shared" si="0"/>
        <v>0</v>
      </c>
      <c r="L4" s="255"/>
    </row>
    <row r="5" spans="1:12">
      <c r="A5" t="str">
        <f>IF(OR(G5&gt;0,K5&gt;0),基础信息!$B$1,"")</f>
        <v/>
      </c>
      <c r="B5" s="255"/>
      <c r="C5" s="255"/>
      <c r="D5" s="255"/>
      <c r="E5" s="255"/>
      <c r="F5" s="255"/>
      <c r="G5" s="255"/>
      <c r="H5" s="255"/>
      <c r="I5" s="255"/>
      <c r="J5" s="255"/>
      <c r="K5">
        <f t="shared" si="0"/>
        <v>0</v>
      </c>
      <c r="L5" s="255"/>
    </row>
    <row r="6" spans="1:12">
      <c r="A6" t="str">
        <f>IF(OR(G6&gt;0,K6&gt;0),基础信息!$B$1,"")</f>
        <v/>
      </c>
      <c r="B6" s="255"/>
      <c r="C6" s="255"/>
      <c r="D6" s="255"/>
      <c r="E6" s="255"/>
      <c r="F6" s="255"/>
      <c r="G6" s="255"/>
      <c r="H6" s="255"/>
      <c r="I6" s="255"/>
      <c r="J6" s="255"/>
      <c r="K6">
        <f t="shared" si="0"/>
        <v>0</v>
      </c>
      <c r="L6" s="255"/>
    </row>
    <row r="7" spans="1:12">
      <c r="A7" t="str">
        <f>IF(OR(G7&gt;0,K7&gt;0),基础信息!$B$1,"")</f>
        <v/>
      </c>
      <c r="B7" s="255"/>
      <c r="C7" s="255"/>
      <c r="D7" s="255"/>
      <c r="E7" s="255"/>
      <c r="F7" s="255"/>
      <c r="G7" s="255"/>
      <c r="H7" s="255"/>
      <c r="I7" s="255"/>
      <c r="J7" s="255"/>
      <c r="K7">
        <f t="shared" si="0"/>
        <v>0</v>
      </c>
      <c r="L7" s="255"/>
    </row>
    <row r="8" spans="1:12">
      <c r="A8" t="str">
        <f>IF(OR(G8&gt;0,K8&gt;0),基础信息!$B$1,"")</f>
        <v/>
      </c>
      <c r="B8" s="255"/>
      <c r="C8" s="255"/>
      <c r="D8" s="255"/>
      <c r="E8" s="255"/>
      <c r="F8" s="255"/>
      <c r="G8" s="255"/>
      <c r="H8" s="255"/>
      <c r="I8" s="255"/>
      <c r="J8" s="255"/>
      <c r="K8">
        <f t="shared" si="0"/>
        <v>0</v>
      </c>
      <c r="L8" s="255"/>
    </row>
    <row r="9" spans="1:12">
      <c r="A9" t="str">
        <f>IF(OR(G9&gt;0,K9&gt;0),基础信息!$B$1,"")</f>
        <v/>
      </c>
      <c r="B9" s="255"/>
      <c r="C9" s="255"/>
      <c r="D9" s="255"/>
      <c r="E9" s="255"/>
      <c r="F9" s="255"/>
      <c r="G9" s="255"/>
      <c r="H9" s="255"/>
      <c r="I9" s="255"/>
      <c r="J9" s="255"/>
      <c r="K9">
        <f t="shared" si="0"/>
        <v>0</v>
      </c>
      <c r="L9" s="255"/>
    </row>
    <row r="10" spans="1:12">
      <c r="A10" t="str">
        <f>IF(OR(G10&gt;0,K10&gt;0),基础信息!$B$1,"")</f>
        <v/>
      </c>
      <c r="B10" s="255"/>
      <c r="C10" s="255"/>
      <c r="D10" s="255"/>
      <c r="E10" s="255"/>
      <c r="F10" s="255"/>
      <c r="G10" s="255"/>
      <c r="H10" s="255"/>
      <c r="I10" s="255"/>
      <c r="J10" s="255"/>
      <c r="K10">
        <f t="shared" si="0"/>
        <v>0</v>
      </c>
      <c r="L10" s="255"/>
    </row>
    <row r="11" spans="1:12">
      <c r="A11" t="str">
        <f>IF(OR(G11&gt;0,K11&gt;0),基础信息!$B$1,"")</f>
        <v/>
      </c>
      <c r="B11" s="255"/>
      <c r="C11" s="255"/>
      <c r="D11" s="255"/>
      <c r="E11" s="255"/>
      <c r="F11" s="255"/>
      <c r="G11" s="255"/>
      <c r="H11" s="255"/>
      <c r="I11" s="255"/>
      <c r="J11" s="255"/>
      <c r="K11">
        <f t="shared" si="0"/>
        <v>0</v>
      </c>
      <c r="L11" s="255"/>
    </row>
    <row r="12" spans="1:12">
      <c r="A12" t="str">
        <f>IF(OR(G12&gt;0,K12&gt;0),基础信息!$B$1,"")</f>
        <v/>
      </c>
      <c r="B12" s="255"/>
      <c r="C12" s="255"/>
      <c r="D12" s="255"/>
      <c r="E12" s="255"/>
      <c r="F12" s="255"/>
      <c r="G12" s="255"/>
      <c r="H12" s="255"/>
      <c r="I12" s="255"/>
      <c r="J12" s="255"/>
      <c r="K12">
        <f t="shared" si="0"/>
        <v>0</v>
      </c>
      <c r="L12" s="255"/>
    </row>
    <row r="13" spans="1:12">
      <c r="A13" t="str">
        <f>IF(OR(G13&gt;0,K13&gt;0),基础信息!$B$1,"")</f>
        <v/>
      </c>
      <c r="B13" s="255"/>
      <c r="C13" s="255"/>
      <c r="D13" s="255"/>
      <c r="E13" s="255"/>
      <c r="F13" s="255"/>
      <c r="G13" s="255"/>
      <c r="H13" s="255"/>
      <c r="I13" s="255"/>
      <c r="J13" s="255"/>
      <c r="K13">
        <f t="shared" si="0"/>
        <v>0</v>
      </c>
      <c r="L13" s="255"/>
    </row>
    <row r="14" spans="1:12">
      <c r="A14" t="str">
        <f>IF(OR(G14&gt;0,K14&gt;0),基础信息!$B$1,"")</f>
        <v/>
      </c>
      <c r="B14" s="255"/>
      <c r="C14" s="255"/>
      <c r="D14" s="255"/>
      <c r="E14" s="255"/>
      <c r="F14" s="255"/>
      <c r="G14" s="255"/>
      <c r="H14" s="255"/>
      <c r="I14" s="255"/>
      <c r="J14" s="255"/>
      <c r="K14">
        <f t="shared" si="0"/>
        <v>0</v>
      </c>
      <c r="L14" s="255"/>
    </row>
    <row r="15" spans="1:12">
      <c r="A15" t="str">
        <f>IF(OR(G15&gt;0,K15&gt;0),基础信息!$B$1,"")</f>
        <v/>
      </c>
      <c r="B15" s="255"/>
      <c r="C15" s="255"/>
      <c r="D15" s="255"/>
      <c r="E15" s="255"/>
      <c r="F15" s="255"/>
      <c r="G15" s="255"/>
      <c r="H15" s="255"/>
      <c r="I15" s="255"/>
      <c r="J15" s="255"/>
      <c r="K15">
        <f t="shared" si="0"/>
        <v>0</v>
      </c>
      <c r="L15" s="255"/>
    </row>
    <row r="16" spans="1:12">
      <c r="A16" t="str">
        <f>IF(OR(G16&gt;0,K16&gt;0),基础信息!$B$1,"")</f>
        <v/>
      </c>
      <c r="B16" s="255"/>
      <c r="C16" s="255"/>
      <c r="D16" s="255"/>
      <c r="E16" s="255"/>
      <c r="F16" s="255"/>
      <c r="G16" s="255"/>
      <c r="H16" s="255"/>
      <c r="I16" s="255"/>
      <c r="J16" s="255"/>
      <c r="K16">
        <f t="shared" si="0"/>
        <v>0</v>
      </c>
      <c r="L16" s="255"/>
    </row>
    <row r="17" spans="1:12">
      <c r="A17" t="str">
        <f>IF(OR(G17&gt;0,K17&gt;0),基础信息!$B$1,"")</f>
        <v/>
      </c>
      <c r="B17" s="255"/>
      <c r="C17" s="255"/>
      <c r="D17" s="255"/>
      <c r="E17" s="255"/>
      <c r="F17" s="255"/>
      <c r="G17" s="255"/>
      <c r="H17" s="255"/>
      <c r="I17" s="255"/>
      <c r="J17" s="255"/>
      <c r="K17">
        <f t="shared" si="0"/>
        <v>0</v>
      </c>
      <c r="L17" s="255"/>
    </row>
    <row r="18" spans="1:12">
      <c r="A18" t="str">
        <f>IF(OR(G18&gt;0,K18&gt;0),基础信息!$B$1,"")</f>
        <v/>
      </c>
      <c r="B18" s="255"/>
      <c r="C18" s="255"/>
      <c r="D18" s="255"/>
      <c r="E18" s="255"/>
      <c r="F18" s="255"/>
      <c r="G18" s="255"/>
      <c r="H18" s="255"/>
      <c r="I18" s="255"/>
      <c r="J18" s="255"/>
      <c r="L18" s="255"/>
    </row>
    <row r="19" spans="1:12">
      <c r="A19" t="str">
        <f>IF(OR(G19&gt;0,K19&gt;0),基础信息!$B$1,"")</f>
        <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codeName="Sheet27">
    <tabColor rgb="FF00B0F0"/>
  </sheetPr>
  <dimension ref="A1:C53"/>
  <sheetViews>
    <sheetView topLeftCell="A49" workbookViewId="0">
      <selection activeCell="C64" sqref="C64"/>
    </sheetView>
  </sheetViews>
  <sheetFormatPr defaultRowHeight="13.8"/>
  <cols>
    <col min="1" max="1" width="27.109375" bestFit="1" customWidth="1"/>
    <col min="2" max="2" width="15.44140625" style="229" bestFit="1" customWidth="1"/>
    <col min="3" max="3" width="13.88671875" bestFit="1" customWidth="1"/>
  </cols>
  <sheetData>
    <row r="1" spans="1:3">
      <c r="A1" s="244" t="s">
        <v>95</v>
      </c>
      <c r="B1" s="375" t="s">
        <v>2478</v>
      </c>
      <c r="C1" t="s">
        <v>1807</v>
      </c>
    </row>
    <row r="2" spans="1:3">
      <c r="A2" s="261" t="s">
        <v>2791</v>
      </c>
      <c r="B2" s="376">
        <f>B5+B7+B9+B11+B13</f>
        <v>0</v>
      </c>
    </row>
    <row r="3" spans="1:3">
      <c r="A3" s="261" t="s">
        <v>2790</v>
      </c>
      <c r="B3" s="376">
        <f>B6+B8+B10+B12+B14</f>
        <v>0</v>
      </c>
    </row>
    <row r="4" spans="1:3">
      <c r="A4" s="261" t="s">
        <v>2795</v>
      </c>
      <c r="B4" s="263">
        <f>B2-B3</f>
        <v>0</v>
      </c>
    </row>
    <row r="5" spans="1:3">
      <c r="A5" s="290" t="s">
        <v>2802</v>
      </c>
      <c r="B5" s="288"/>
    </row>
    <row r="6" spans="1:3">
      <c r="A6" s="290" t="s">
        <v>2803</v>
      </c>
      <c r="B6" s="288"/>
    </row>
    <row r="7" spans="1:3">
      <c r="A7" s="290" t="s">
        <v>2804</v>
      </c>
      <c r="B7" s="288"/>
    </row>
    <row r="8" spans="1:3">
      <c r="A8" s="290" t="s">
        <v>2805</v>
      </c>
      <c r="B8" s="288"/>
    </row>
    <row r="9" spans="1:3">
      <c r="A9" s="290" t="s">
        <v>2806</v>
      </c>
      <c r="B9" s="288"/>
    </row>
    <row r="10" spans="1:3">
      <c r="A10" s="290" t="s">
        <v>2807</v>
      </c>
      <c r="B10" s="288"/>
    </row>
    <row r="11" spans="1:3">
      <c r="A11" s="290" t="s">
        <v>2826</v>
      </c>
      <c r="B11" s="288"/>
    </row>
    <row r="12" spans="1:3">
      <c r="A12" s="290" t="s">
        <v>2827</v>
      </c>
      <c r="B12" s="288"/>
    </row>
    <row r="13" spans="1:3">
      <c r="A13" s="290" t="s">
        <v>2828</v>
      </c>
      <c r="B13" s="288"/>
    </row>
    <row r="14" spans="1:3">
      <c r="A14" s="290" t="s">
        <v>2829</v>
      </c>
      <c r="B14" s="288"/>
    </row>
    <row r="15" spans="1:3">
      <c r="B15" s="288"/>
    </row>
    <row r="16" spans="1:3">
      <c r="B16" s="288"/>
    </row>
    <row r="17" spans="1:2">
      <c r="B17" s="288"/>
    </row>
    <row r="18" spans="1:2">
      <c r="A18" s="261" t="s">
        <v>2792</v>
      </c>
      <c r="B18" s="263">
        <f>B22+B25+B28+B30+B33</f>
        <v>0</v>
      </c>
    </row>
    <row r="19" spans="1:2">
      <c r="A19" s="261" t="s">
        <v>2793</v>
      </c>
      <c r="B19" s="263">
        <f>B23+B26+B31</f>
        <v>0</v>
      </c>
    </row>
    <row r="20" spans="1:2">
      <c r="A20" s="261" t="s">
        <v>2794</v>
      </c>
      <c r="B20" s="263">
        <f>B24+B27+B29+B32+B34</f>
        <v>0</v>
      </c>
    </row>
    <row r="21" spans="1:2">
      <c r="A21" s="261" t="s">
        <v>2796</v>
      </c>
      <c r="B21" s="263">
        <f>B18-B19-B20</f>
        <v>0</v>
      </c>
    </row>
    <row r="22" spans="1:2">
      <c r="A22" s="290" t="s">
        <v>2808</v>
      </c>
      <c r="B22" s="259">
        <f>SUMIF(固定资产明细表!I:I,"原值本期减少处置",固定资产明细表!F:F)+SUMIF(固定资产明细表!I:I,"原值本期减少报废、毁损",固定资产明细表!F:F)</f>
        <v>0</v>
      </c>
    </row>
    <row r="23" spans="1:2">
      <c r="A23" s="290" t="s">
        <v>2809</v>
      </c>
      <c r="B23" s="259">
        <f>SUMIF(固定资产明细表!I:I,"累计折旧本期减少处置",固定资产明细表!F:F)+SUMIF(固定资产明细表!I:I,"累计折旧本期减少报废、毁损",固定资产明细表!F:F)</f>
        <v>0</v>
      </c>
    </row>
    <row r="24" spans="1:2">
      <c r="A24" s="290" t="s">
        <v>962</v>
      </c>
      <c r="B24" s="259">
        <f>SUMIF(固定资产明细表!I:I,"减值准备本期减少处置",固定资产明细表!F:F)+SUMIF(固定资产明细表!I:I,"减值准备本期减少报废、毁损",固定资产明细表!F:F)</f>
        <v>0</v>
      </c>
    </row>
    <row r="25" spans="1:2">
      <c r="A25" s="290" t="s">
        <v>2810</v>
      </c>
      <c r="B25" s="259">
        <f>SUMIF(无形资产明细表!I:I,"原值本期减少处置",无形资产明细表!F:F)+SUMIF(无形资产明细表!I:I,"原值本期减少报废、毁损",无形资产明细表!F:F)</f>
        <v>0</v>
      </c>
    </row>
    <row r="26" spans="1:2">
      <c r="A26" s="290" t="s">
        <v>2811</v>
      </c>
      <c r="B26" s="259">
        <f>SUMIF(无形资产明细表!I:I,"累计折旧本期减少处置",无形资产明细表!F:F)+SUMIF(无形资产明细表!I:I,"累计折旧本期减少报废、毁损",无形资产明细表!F:F)</f>
        <v>0</v>
      </c>
    </row>
    <row r="27" spans="1:2">
      <c r="A27" s="290" t="s">
        <v>2342</v>
      </c>
      <c r="B27" s="259">
        <f>SUMIF(无形资产明细表!I:I,"减值准备本期减少处置",无形资产明细表!F:F)+SUMIF(无形资产明细表!I:I,"减值准备本期减少报废、毁损",无形资产明细表!F:F)</f>
        <v>0</v>
      </c>
    </row>
    <row r="28" spans="1:2">
      <c r="A28" s="290" t="s">
        <v>2812</v>
      </c>
      <c r="B28" s="288"/>
    </row>
    <row r="29" spans="1:2">
      <c r="A29" s="290" t="s">
        <v>2341</v>
      </c>
      <c r="B29" s="288"/>
    </row>
    <row r="30" spans="1:2">
      <c r="A30" s="290" t="s">
        <v>2813</v>
      </c>
      <c r="B30" s="259">
        <f>SUMIF(成本法核算投资性房地产明细表!I:I,"原值本期减少处置",成本法核算投资性房地产明细表!F:F)+SUMIF(成本法核算投资性房地产明细表!I:I,"原值本期减少报废、毁损",成本法核算投资性房地产明细表!F:F)</f>
        <v>0</v>
      </c>
    </row>
    <row r="31" spans="1:2">
      <c r="A31" s="290" t="s">
        <v>1640</v>
      </c>
      <c r="B31" s="259">
        <f>SUMIF(成本法核算投资性房地产明细表!I:I,"累计折旧本期减少处置",成本法核算投资性房地产明细表!F:F)+SUMIF(成本法核算投资性房地产明细表!I:I,"累计折旧本期减少报废、毁损",成本法核算投资性房地产明细表!F:F)</f>
        <v>0</v>
      </c>
    </row>
    <row r="32" spans="1:2">
      <c r="A32" s="290" t="s">
        <v>1641</v>
      </c>
      <c r="B32" s="259">
        <f>SUMIF(成本法核算投资性房地产明细表!I:I,"减值准备本期减少处置",成本法核算投资性房地产明细表!F:F)+SUMIF(成本法核算投资性房地产明细表!I:I,"减值准备本期减少报废、毁损",成本法核算投资性房地产明细表!F:F)</f>
        <v>0</v>
      </c>
    </row>
    <row r="33" spans="1:3">
      <c r="A33" s="290" t="s">
        <v>2823</v>
      </c>
      <c r="B33" s="288"/>
    </row>
    <row r="34" spans="1:3">
      <c r="A34" s="290" t="s">
        <v>2825</v>
      </c>
      <c r="B34" s="259">
        <f>持有待售资产减值准备情况!E12</f>
        <v>0</v>
      </c>
    </row>
    <row r="35" spans="1:3">
      <c r="B35" s="288"/>
    </row>
    <row r="36" spans="1:3">
      <c r="A36" s="261" t="s">
        <v>2797</v>
      </c>
      <c r="B36" s="263">
        <f>B4-B21</f>
        <v>0</v>
      </c>
    </row>
    <row r="37" spans="1:3">
      <c r="A37" t="s">
        <v>1161</v>
      </c>
      <c r="B37" s="229">
        <f>利润表!B35</f>
        <v>0</v>
      </c>
    </row>
    <row r="38" spans="1:3">
      <c r="A38" t="s">
        <v>688</v>
      </c>
      <c r="B38" s="229">
        <f>_xlfn.IFNA(VLOOKUP(A38,营业外收入!A:B,2,0),0)</f>
        <v>0</v>
      </c>
      <c r="C38" t="s">
        <v>1167</v>
      </c>
    </row>
    <row r="39" spans="1:3">
      <c r="A39" t="s">
        <v>690</v>
      </c>
      <c r="B39" s="229">
        <f>-_xlfn.IFNA(VLOOKUP(A39,营业外支出!A:B,2,0),0)</f>
        <v>0</v>
      </c>
      <c r="C39" t="s">
        <v>1169</v>
      </c>
    </row>
    <row r="40" spans="1:3">
      <c r="A40" t="s">
        <v>2814</v>
      </c>
      <c r="B40" s="288"/>
      <c r="C40" t="s">
        <v>2292</v>
      </c>
    </row>
    <row r="41" spans="1:3">
      <c r="A41" t="s">
        <v>2815</v>
      </c>
      <c r="B41" s="288"/>
      <c r="C41" t="s">
        <v>2293</v>
      </c>
    </row>
    <row r="47" spans="1:3">
      <c r="A47" t="s">
        <v>2798</v>
      </c>
      <c r="B47" s="229">
        <f>SUM(B37:B46)</f>
        <v>0</v>
      </c>
    </row>
    <row r="48" spans="1:3">
      <c r="A48" s="261" t="s">
        <v>2534</v>
      </c>
      <c r="B48" s="263">
        <f>B36-B47</f>
        <v>0</v>
      </c>
    </row>
    <row r="50" spans="1:3">
      <c r="A50" t="s">
        <v>2799</v>
      </c>
      <c r="B50" s="288"/>
      <c r="C50" t="s">
        <v>858</v>
      </c>
    </row>
    <row r="51" spans="1:3">
      <c r="A51" t="s">
        <v>2800</v>
      </c>
      <c r="B51" s="288"/>
      <c r="C51" t="s">
        <v>858</v>
      </c>
    </row>
    <row r="52" spans="1:3">
      <c r="A52" t="s">
        <v>2801</v>
      </c>
      <c r="B52" s="229">
        <f>现金流量表!B33</f>
        <v>0</v>
      </c>
    </row>
    <row r="53" spans="1:3">
      <c r="A53" t="s">
        <v>2351</v>
      </c>
      <c r="B53" s="229">
        <f>B2+B50-B51-B52</f>
        <v>0</v>
      </c>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codeName="Sheet294">
    <tabColor rgb="FFFFC000"/>
  </sheetPr>
  <dimension ref="A1:C5"/>
  <sheetViews>
    <sheetView workbookViewId="0">
      <selection activeCell="F17" sqref="F17"/>
    </sheetView>
  </sheetViews>
  <sheetFormatPr defaultRowHeight="13.8"/>
  <cols>
    <col min="1" max="1" width="41.21875" style="18" customWidth="1"/>
    <col min="2" max="16384" width="8.88671875" style="18"/>
  </cols>
  <sheetData>
    <row r="1" spans="1:3" ht="14.4">
      <c r="A1" s="31" t="s">
        <v>28</v>
      </c>
      <c r="B1" s="20" t="s">
        <v>203</v>
      </c>
      <c r="C1" s="20" t="s">
        <v>265</v>
      </c>
    </row>
    <row r="2" spans="1:3" ht="14.4">
      <c r="A2" s="32" t="s">
        <v>574</v>
      </c>
      <c r="B2" s="280"/>
      <c r="C2" s="280"/>
    </row>
    <row r="3" spans="1:3" ht="14.4">
      <c r="A3" s="32" t="s">
        <v>575</v>
      </c>
      <c r="B3" s="280"/>
      <c r="C3" s="280"/>
    </row>
    <row r="4" spans="1:3" ht="14.4">
      <c r="A4" s="32" t="s">
        <v>576</v>
      </c>
      <c r="B4" s="280"/>
      <c r="C4" s="280"/>
    </row>
    <row r="5" spans="1:3" ht="14.4">
      <c r="A5" s="31" t="s">
        <v>204</v>
      </c>
      <c r="B5" s="21">
        <f>ROUND(SUM(B2:B4),2)</f>
        <v>0</v>
      </c>
      <c r="C5" s="21">
        <f>ROUND(SUM(C2:C4),2)</f>
        <v>0</v>
      </c>
    </row>
  </sheetData>
  <phoneticPr fontId="1" type="noConversion"/>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codeName="Sheet295">
    <tabColor rgb="FFFFC000"/>
  </sheetPr>
  <dimension ref="A1:C15"/>
  <sheetViews>
    <sheetView workbookViewId="0">
      <selection activeCell="C20" sqref="C20"/>
    </sheetView>
  </sheetViews>
  <sheetFormatPr defaultRowHeight="13.8"/>
  <cols>
    <col min="1" max="1" width="52.33203125" style="18" customWidth="1"/>
    <col min="2" max="3" width="20.6640625" style="18" customWidth="1"/>
    <col min="4" max="16384" width="8.88671875" style="18"/>
  </cols>
  <sheetData>
    <row r="1" spans="1:3" ht="14.4">
      <c r="A1" s="31" t="s">
        <v>28</v>
      </c>
      <c r="B1" s="20" t="s">
        <v>3367</v>
      </c>
      <c r="C1" s="20" t="s">
        <v>413</v>
      </c>
    </row>
    <row r="2" spans="1:3" ht="14.4">
      <c r="A2" s="32" t="s">
        <v>578</v>
      </c>
      <c r="B2" s="280"/>
      <c r="C2" s="280"/>
    </row>
    <row r="3" spans="1:3" ht="14.4">
      <c r="A3" s="32" t="s">
        <v>579</v>
      </c>
      <c r="B3" s="21">
        <f>ROUND(SUM(B4:B7),2)</f>
        <v>0</v>
      </c>
      <c r="C3" s="21">
        <f>ROUND(SUM(C4:C7),2)</f>
        <v>0</v>
      </c>
    </row>
    <row r="4" spans="1:3" ht="14.4">
      <c r="A4" s="32" t="s">
        <v>3313</v>
      </c>
      <c r="B4" s="280"/>
      <c r="C4" s="280"/>
    </row>
    <row r="5" spans="1:3" ht="14.4">
      <c r="A5" s="32" t="s">
        <v>3314</v>
      </c>
      <c r="B5" s="280"/>
      <c r="C5" s="280"/>
    </row>
    <row r="6" spans="1:3" ht="14.4">
      <c r="A6" s="32" t="s">
        <v>3315</v>
      </c>
      <c r="B6" s="280"/>
      <c r="C6" s="280"/>
    </row>
    <row r="7" spans="1:3" ht="14.4">
      <c r="A7" s="32" t="s">
        <v>3316</v>
      </c>
      <c r="B7" s="280"/>
      <c r="C7" s="280"/>
    </row>
    <row r="8" spans="1:3" ht="14.4">
      <c r="A8" s="32" t="s">
        <v>580</v>
      </c>
      <c r="B8" s="21">
        <f>ROUND(SUM(B9:B10),2)</f>
        <v>0</v>
      </c>
      <c r="C8" s="21">
        <f>ROUND(SUM(C9:C10),2)</f>
        <v>0</v>
      </c>
    </row>
    <row r="9" spans="1:3" ht="14.4">
      <c r="A9" s="32" t="s">
        <v>3317</v>
      </c>
      <c r="B9" s="280"/>
      <c r="C9" s="280"/>
    </row>
    <row r="10" spans="1:3" ht="14.4">
      <c r="A10" s="32" t="s">
        <v>13</v>
      </c>
      <c r="B10" s="280"/>
      <c r="C10" s="280"/>
    </row>
    <row r="11" spans="1:3" ht="14.4">
      <c r="A11" s="32" t="s">
        <v>304</v>
      </c>
      <c r="B11" s="21">
        <f>ROUND(SUM(B12:B14),2)</f>
        <v>0</v>
      </c>
      <c r="C11" s="21">
        <f>ROUND(SUM(C12:C14),2)</f>
        <v>0</v>
      </c>
    </row>
    <row r="12" spans="1:3" ht="14.4">
      <c r="A12" s="32" t="s">
        <v>3318</v>
      </c>
      <c r="B12" s="280"/>
      <c r="C12" s="280"/>
    </row>
    <row r="13" spans="1:3" ht="14.4">
      <c r="A13" s="32" t="s">
        <v>3319</v>
      </c>
      <c r="B13" s="280"/>
      <c r="C13" s="280"/>
    </row>
    <row r="14" spans="1:3" ht="14.4">
      <c r="A14" s="32" t="s">
        <v>13</v>
      </c>
      <c r="B14" s="280"/>
      <c r="C14" s="280"/>
    </row>
    <row r="15" spans="1:3" ht="14.4">
      <c r="A15" s="32" t="s">
        <v>390</v>
      </c>
      <c r="B15" s="21">
        <f>ROUND(B2+B3+B8+B11,2)</f>
        <v>0</v>
      </c>
      <c r="C15" s="21">
        <f>ROUND(C2+C3+C8+C11,2)</f>
        <v>0</v>
      </c>
    </row>
  </sheetData>
  <phoneticPr fontId="1" type="noConversion"/>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codeName="Sheet296">
    <tabColor rgb="FFFFC000"/>
  </sheetPr>
  <dimension ref="A1:C12"/>
  <sheetViews>
    <sheetView workbookViewId="0">
      <selection activeCell="C23" sqref="C23"/>
    </sheetView>
  </sheetViews>
  <sheetFormatPr defaultRowHeight="13.8"/>
  <cols>
    <col min="1" max="1" width="46.109375" style="18" customWidth="1"/>
    <col min="2" max="3" width="22.5546875" style="18" customWidth="1"/>
    <col min="4" max="16384" width="8.88671875" style="18"/>
  </cols>
  <sheetData>
    <row r="1" spans="1:3" ht="14.4">
      <c r="A1" s="20" t="s">
        <v>28</v>
      </c>
      <c r="B1" s="20" t="s">
        <v>577</v>
      </c>
      <c r="C1" s="20" t="s">
        <v>413</v>
      </c>
    </row>
    <row r="2" spans="1:3" ht="14.4">
      <c r="A2" s="19" t="s">
        <v>587</v>
      </c>
      <c r="B2" s="341"/>
      <c r="C2" s="341"/>
    </row>
    <row r="3" spans="1:3" ht="14.4">
      <c r="A3" s="19" t="s">
        <v>588</v>
      </c>
      <c r="B3" s="341"/>
      <c r="C3" s="341"/>
    </row>
    <row r="4" spans="1:3" ht="14.4">
      <c r="A4" s="22" t="s">
        <v>581</v>
      </c>
      <c r="B4" s="341"/>
      <c r="C4" s="341"/>
    </row>
    <row r="5" spans="1:3">
      <c r="A5" s="22" t="s">
        <v>13</v>
      </c>
      <c r="B5" s="341"/>
      <c r="C5" s="341"/>
    </row>
    <row r="6" spans="1:3" ht="14.4">
      <c r="A6" s="44" t="s">
        <v>582</v>
      </c>
      <c r="B6" s="341"/>
      <c r="C6" s="341"/>
    </row>
    <row r="7" spans="1:3" ht="14.4">
      <c r="A7" s="22" t="s">
        <v>583</v>
      </c>
      <c r="B7" s="341"/>
      <c r="C7" s="341"/>
    </row>
    <row r="8" spans="1:3" ht="14.4">
      <c r="A8" s="22" t="s">
        <v>584</v>
      </c>
      <c r="B8" s="341"/>
      <c r="C8" s="341"/>
    </row>
    <row r="9" spans="1:3">
      <c r="A9" s="22" t="s">
        <v>13</v>
      </c>
      <c r="B9" s="341"/>
      <c r="C9" s="341"/>
    </row>
    <row r="10" spans="1:3" ht="14.4">
      <c r="A10" s="19" t="s">
        <v>585</v>
      </c>
      <c r="B10" s="341"/>
      <c r="C10" s="341"/>
    </row>
    <row r="11" spans="1:3">
      <c r="A11" s="22" t="s">
        <v>13</v>
      </c>
      <c r="B11" s="341"/>
      <c r="C11" s="341"/>
    </row>
    <row r="12" spans="1:3" ht="14.4">
      <c r="A12" s="19" t="s">
        <v>586</v>
      </c>
      <c r="B12" s="22">
        <f>ROUND(B2+B3+B6+B10,2)</f>
        <v>0</v>
      </c>
      <c r="C12" s="22">
        <f>ROUND(C2+C3+C6+C10,2)</f>
        <v>0</v>
      </c>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codeName="Sheet297">
    <tabColor rgb="FFFFC000"/>
  </sheetPr>
  <dimension ref="A1:C6"/>
  <sheetViews>
    <sheetView workbookViewId="0">
      <selection activeCell="D16" sqref="D16"/>
    </sheetView>
  </sheetViews>
  <sheetFormatPr defaultRowHeight="13.8"/>
  <cols>
    <col min="1" max="1" width="43" style="18" customWidth="1"/>
    <col min="2" max="3" width="15" style="18" customWidth="1"/>
    <col min="4" max="16384" width="8.88671875" style="18"/>
  </cols>
  <sheetData>
    <row r="1" spans="1:3" ht="14.4">
      <c r="A1" s="20" t="s">
        <v>28</v>
      </c>
      <c r="B1" s="20" t="s">
        <v>577</v>
      </c>
      <c r="C1" s="20" t="s">
        <v>413</v>
      </c>
    </row>
    <row r="2" spans="1:3" ht="14.4">
      <c r="A2" s="19" t="s">
        <v>587</v>
      </c>
      <c r="B2" s="341"/>
      <c r="C2" s="341"/>
    </row>
    <row r="3" spans="1:3" ht="14.4">
      <c r="A3" s="19" t="s">
        <v>588</v>
      </c>
      <c r="B3" s="341"/>
      <c r="C3" s="341"/>
    </row>
    <row r="4" spans="1:3" ht="14.4">
      <c r="A4" s="44" t="s">
        <v>582</v>
      </c>
      <c r="B4" s="341"/>
      <c r="C4" s="341"/>
    </row>
    <row r="5" spans="1:3" ht="14.4">
      <c r="A5" s="19" t="s">
        <v>585</v>
      </c>
      <c r="B5" s="341"/>
      <c r="C5" s="341"/>
    </row>
    <row r="6" spans="1:3" ht="14.4">
      <c r="A6" s="19" t="s">
        <v>586</v>
      </c>
      <c r="B6" s="22">
        <f>ROUND(B2+B3+B4+B5,2)</f>
        <v>0</v>
      </c>
      <c r="C6" s="22">
        <f>ROUND(C2+C3+C4+C5,2)</f>
        <v>0</v>
      </c>
    </row>
  </sheetData>
  <phoneticPr fontId="1" type="noConversion"/>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codeName="Sheet298">
    <tabColor rgb="FFFFC000"/>
  </sheetPr>
  <dimension ref="A1:D8"/>
  <sheetViews>
    <sheetView workbookViewId="0">
      <selection activeCell="J22" sqref="J22"/>
    </sheetView>
  </sheetViews>
  <sheetFormatPr defaultRowHeight="13.8"/>
  <cols>
    <col min="1" max="1" width="25" style="18" customWidth="1"/>
    <col min="2" max="16384" width="8.88671875" style="18"/>
  </cols>
  <sheetData>
    <row r="1" spans="1:4" ht="14.4">
      <c r="A1" s="19" t="s">
        <v>28</v>
      </c>
      <c r="B1" s="20" t="s">
        <v>203</v>
      </c>
      <c r="C1" s="20" t="s">
        <v>265</v>
      </c>
      <c r="D1" s="20" t="s">
        <v>571</v>
      </c>
    </row>
    <row r="2" spans="1:4" ht="14.4">
      <c r="A2" s="345" t="s">
        <v>589</v>
      </c>
      <c r="B2" s="293">
        <f>ROUND(SUMIF(预计负债明细表!C:C,预计负债!A2,预计负债明细表!H:H),2)</f>
        <v>0</v>
      </c>
      <c r="C2" s="293">
        <f>ROUND(SUMIF(预计负债明细表!C:C,预计负债!A2,预计负债明细表!D:D),2)</f>
        <v>0</v>
      </c>
      <c r="D2" s="268"/>
    </row>
    <row r="3" spans="1:4" ht="14.4">
      <c r="A3" s="345" t="s">
        <v>590</v>
      </c>
      <c r="B3" s="293">
        <f>ROUND(SUMIF(预计负债明细表!C:C,预计负债!A3,预计负债明细表!H:H),2)</f>
        <v>0</v>
      </c>
      <c r="C3" s="293">
        <f>ROUND(SUMIF(预计负债明细表!C:C,预计负债!A3,预计负债明细表!D:D),2)</f>
        <v>0</v>
      </c>
      <c r="D3" s="268"/>
    </row>
    <row r="4" spans="1:4" ht="14.4">
      <c r="A4" s="345" t="s">
        <v>591</v>
      </c>
      <c r="B4" s="293">
        <f>ROUND(SUMIF(预计负债明细表!C:C,预计负债!A4,预计负债明细表!H:H),2)</f>
        <v>0</v>
      </c>
      <c r="C4" s="293">
        <f>ROUND(SUMIF(预计负债明细表!C:C,预计负债!A4,预计负债明细表!D:D),2)</f>
        <v>0</v>
      </c>
      <c r="D4" s="268"/>
    </row>
    <row r="5" spans="1:4" ht="14.4">
      <c r="A5" s="345" t="s">
        <v>592</v>
      </c>
      <c r="B5" s="293">
        <f>ROUND(SUMIF(预计负债明细表!C:C,预计负债!A5,预计负债明细表!H:H),2)</f>
        <v>0</v>
      </c>
      <c r="C5" s="293">
        <f>ROUND(SUMIF(预计负债明细表!C:C,预计负债!A5,预计负债明细表!D:D),2)</f>
        <v>0</v>
      </c>
      <c r="D5" s="268"/>
    </row>
    <row r="6" spans="1:4" ht="14.4">
      <c r="A6" s="345" t="s">
        <v>593</v>
      </c>
      <c r="B6" s="293">
        <f>ROUND(SUMIF(预计负债明细表!C:C,预计负债!A6,预计负债明细表!H:H),2)</f>
        <v>0</v>
      </c>
      <c r="C6" s="293">
        <f>ROUND(SUMIF(预计负债明细表!C:C,预计负债!A6,预计负债明细表!D:D),2)</f>
        <v>0</v>
      </c>
      <c r="D6" s="268"/>
    </row>
    <row r="7" spans="1:4" ht="14.4">
      <c r="A7" s="345" t="s">
        <v>3842</v>
      </c>
      <c r="B7" s="293">
        <f>ROUND(SUMIF(预计负债明细表!C:C,预计负债!A7,预计负债明细表!H:H),2)</f>
        <v>0</v>
      </c>
      <c r="C7" s="293">
        <f>ROUND(SUMIF(预计负债明细表!C:C,预计负债!A7,预计负债明细表!D:D),2)</f>
        <v>0</v>
      </c>
      <c r="D7" s="268"/>
    </row>
    <row r="8" spans="1:4" ht="14.4">
      <c r="A8" s="19" t="s">
        <v>204</v>
      </c>
      <c r="B8" s="68">
        <f>ROUND(SUM(B2:B7),2)</f>
        <v>0</v>
      </c>
      <c r="C8" s="68">
        <f>ROUND(SUM(C2:C7),2)</f>
        <v>0</v>
      </c>
      <c r="D8" s="1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A76D0E0-1F6E-429D-86B5-2ECF895CDCC4}">
          <x14:formula1>
            <xm:f>分类表!$107:$107</xm:f>
          </x14:formula1>
          <xm:sqref>A2:A7</xm:sqref>
        </x14:dataValidation>
      </x14:dataValidations>
    </ext>
  </extLst>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80CF-DB30-4D7B-A994-E9599F891581}">
  <sheetPr codeName="Sheet299"/>
  <dimension ref="A1:L14"/>
  <sheetViews>
    <sheetView workbookViewId="0">
      <selection activeCell="A2" sqref="A2"/>
    </sheetView>
  </sheetViews>
  <sheetFormatPr defaultRowHeight="13.8"/>
  <cols>
    <col min="4" max="4" width="7.5546875" bestFit="1" customWidth="1"/>
    <col min="5" max="5" width="35.88671875" bestFit="1" customWidth="1"/>
    <col min="6" max="7" width="9.5546875" bestFit="1" customWidth="1"/>
    <col min="8" max="8" width="8.6640625" style="229" bestFit="1" customWidth="1"/>
    <col min="9" max="9" width="13.88671875" bestFit="1" customWidth="1"/>
    <col min="10" max="10" width="27.109375" bestFit="1" customWidth="1"/>
    <col min="11" max="11" width="42.44140625" bestFit="1" customWidth="1"/>
    <col min="12" max="12" width="16.109375" bestFit="1" customWidth="1"/>
  </cols>
  <sheetData>
    <row r="1" spans="1:12" s="593" customFormat="1">
      <c r="A1" s="593" t="s">
        <v>125</v>
      </c>
      <c r="B1" s="593" t="s">
        <v>95</v>
      </c>
      <c r="C1" s="593" t="s">
        <v>3398</v>
      </c>
      <c r="D1" s="593" t="s">
        <v>265</v>
      </c>
      <c r="E1" s="593" t="s">
        <v>3591</v>
      </c>
      <c r="F1" s="593" t="s">
        <v>359</v>
      </c>
      <c r="G1" s="593" t="s">
        <v>477</v>
      </c>
      <c r="H1" s="375" t="s">
        <v>203</v>
      </c>
      <c r="I1" s="593" t="s">
        <v>3843</v>
      </c>
      <c r="J1" s="593" t="s">
        <v>3844</v>
      </c>
      <c r="K1" s="593" t="s">
        <v>3845</v>
      </c>
      <c r="L1" s="593" t="s">
        <v>3846</v>
      </c>
    </row>
    <row r="2" spans="1:12">
      <c r="A2" t="str">
        <f>IF(OR(ABS(D2)&gt;0,ABS(F2)&gt;0,ABS(G2)&gt;0,ABS(H2)&gt;0),基础信息!$B$1,"")</f>
        <v/>
      </c>
      <c r="B2" s="255"/>
      <c r="C2" s="276"/>
      <c r="D2" s="255"/>
      <c r="E2" s="255"/>
      <c r="F2" s="255"/>
      <c r="G2" s="255"/>
      <c r="H2" s="229">
        <f>D2+E2+F2-G2</f>
        <v>0</v>
      </c>
      <c r="I2" s="255"/>
      <c r="J2" s="255"/>
      <c r="K2" s="255"/>
      <c r="L2" s="255"/>
    </row>
    <row r="3" spans="1:12">
      <c r="A3" t="str">
        <f>IF(OR(ABS(D3)&gt;0,ABS(F3)&gt;0,ABS(G3)&gt;0,ABS(H3)&gt;0),基础信息!$B$1,"")</f>
        <v/>
      </c>
      <c r="B3" s="255"/>
      <c r="C3" s="276"/>
      <c r="D3" s="255"/>
      <c r="E3" s="255"/>
      <c r="F3" s="255"/>
      <c r="G3" s="255"/>
      <c r="H3" s="229">
        <f t="shared" ref="H3:H14" si="0">D3+E3+F3-G3</f>
        <v>0</v>
      </c>
      <c r="I3" s="255"/>
      <c r="J3" s="255"/>
      <c r="K3" s="255"/>
      <c r="L3" s="255"/>
    </row>
    <row r="4" spans="1:12">
      <c r="A4" t="str">
        <f>IF(OR(ABS(D4)&gt;0,ABS(F4)&gt;0,ABS(G4)&gt;0,ABS(H4)&gt;0),基础信息!$B$1,"")</f>
        <v/>
      </c>
      <c r="B4" s="255"/>
      <c r="C4" s="276"/>
      <c r="D4" s="255"/>
      <c r="E4" s="255"/>
      <c r="F4" s="255"/>
      <c r="G4" s="255"/>
      <c r="H4" s="229">
        <f t="shared" si="0"/>
        <v>0</v>
      </c>
      <c r="I4" s="255"/>
      <c r="J4" s="255"/>
      <c r="K4" s="255"/>
      <c r="L4" s="255"/>
    </row>
    <row r="5" spans="1:12">
      <c r="A5" t="str">
        <f>IF(OR(ABS(D5)&gt;0,ABS(F5)&gt;0,ABS(G5)&gt;0,ABS(H5)&gt;0),基础信息!$B$1,"")</f>
        <v/>
      </c>
      <c r="B5" s="255"/>
      <c r="C5" s="276"/>
      <c r="D5" s="255"/>
      <c r="E5" s="255"/>
      <c r="F5" s="255"/>
      <c r="G5" s="255"/>
      <c r="H5" s="229">
        <f t="shared" si="0"/>
        <v>0</v>
      </c>
      <c r="I5" s="255"/>
      <c r="J5" s="255"/>
      <c r="K5" s="255"/>
      <c r="L5" s="255"/>
    </row>
    <row r="6" spans="1:12">
      <c r="A6" t="str">
        <f>IF(OR(ABS(D6)&gt;0,ABS(F6)&gt;0,ABS(G6)&gt;0,ABS(H6)&gt;0),基础信息!$B$1,"")</f>
        <v/>
      </c>
      <c r="B6" s="255"/>
      <c r="C6" s="276"/>
      <c r="D6" s="255"/>
      <c r="E6" s="255"/>
      <c r="F6" s="255"/>
      <c r="G6" s="255"/>
      <c r="H6" s="229">
        <f t="shared" si="0"/>
        <v>0</v>
      </c>
      <c r="I6" s="255"/>
      <c r="J6" s="255"/>
      <c r="K6" s="255"/>
      <c r="L6" s="255"/>
    </row>
    <row r="7" spans="1:12">
      <c r="A7" t="str">
        <f>IF(OR(ABS(D7)&gt;0,ABS(F7)&gt;0,ABS(G7)&gt;0,ABS(H7)&gt;0),基础信息!$B$1,"")</f>
        <v/>
      </c>
      <c r="B7" s="255"/>
      <c r="C7" s="276"/>
      <c r="D7" s="255"/>
      <c r="E7" s="255"/>
      <c r="F7" s="255"/>
      <c r="G7" s="255"/>
      <c r="H7" s="229">
        <f t="shared" si="0"/>
        <v>0</v>
      </c>
      <c r="I7" s="255"/>
      <c r="J7" s="255"/>
      <c r="K7" s="255"/>
      <c r="L7" s="255"/>
    </row>
    <row r="8" spans="1:12">
      <c r="A8" t="str">
        <f>IF(OR(ABS(D8)&gt;0,ABS(F8)&gt;0,ABS(G8)&gt;0,ABS(H8)&gt;0),基础信息!$B$1,"")</f>
        <v/>
      </c>
      <c r="B8" s="255"/>
      <c r="C8" s="276"/>
      <c r="D8" s="255"/>
      <c r="E8" s="255"/>
      <c r="F8" s="255"/>
      <c r="G8" s="255"/>
      <c r="H8" s="229">
        <f t="shared" si="0"/>
        <v>0</v>
      </c>
      <c r="I8" s="255"/>
      <c r="J8" s="255"/>
      <c r="K8" s="255"/>
      <c r="L8" s="255"/>
    </row>
    <row r="9" spans="1:12">
      <c r="A9" t="str">
        <f>IF(OR(ABS(D9)&gt;0,ABS(F9)&gt;0,ABS(G9)&gt;0,ABS(H9)&gt;0),基础信息!$B$1,"")</f>
        <v/>
      </c>
      <c r="B9" s="255"/>
      <c r="C9" s="276"/>
      <c r="D9" s="255"/>
      <c r="E9" s="255"/>
      <c r="F9" s="255"/>
      <c r="G9" s="255"/>
      <c r="H9" s="229">
        <f t="shared" si="0"/>
        <v>0</v>
      </c>
      <c r="I9" s="255"/>
      <c r="J9" s="255"/>
      <c r="K9" s="255"/>
      <c r="L9" s="255"/>
    </row>
    <row r="10" spans="1:12">
      <c r="A10" t="str">
        <f>IF(OR(ABS(D10)&gt;0,ABS(F10)&gt;0,ABS(G10)&gt;0,ABS(H10)&gt;0),基础信息!$B$1,"")</f>
        <v/>
      </c>
      <c r="B10" s="255"/>
      <c r="C10" s="276"/>
      <c r="D10" s="255"/>
      <c r="E10" s="255"/>
      <c r="F10" s="255"/>
      <c r="G10" s="255"/>
      <c r="H10" s="229">
        <f t="shared" si="0"/>
        <v>0</v>
      </c>
      <c r="I10" s="255"/>
      <c r="J10" s="255"/>
      <c r="K10" s="255"/>
      <c r="L10" s="255"/>
    </row>
    <row r="11" spans="1:12">
      <c r="A11" t="str">
        <f>IF(OR(ABS(D11)&gt;0,ABS(F11)&gt;0,ABS(G11)&gt;0,ABS(H11)&gt;0),基础信息!$B$1,"")</f>
        <v/>
      </c>
      <c r="B11" s="255"/>
      <c r="C11" s="276"/>
      <c r="D11" s="255"/>
      <c r="E11" s="255"/>
      <c r="F11" s="255"/>
      <c r="G11" s="255"/>
      <c r="H11" s="229">
        <f t="shared" si="0"/>
        <v>0</v>
      </c>
      <c r="I11" s="255"/>
      <c r="J11" s="255"/>
      <c r="K11" s="255"/>
      <c r="L11" s="255"/>
    </row>
    <row r="12" spans="1:12">
      <c r="A12" t="str">
        <f>IF(OR(ABS(D12)&gt;0,ABS(F12)&gt;0,ABS(G12)&gt;0,ABS(H12)&gt;0),基础信息!$B$1,"")</f>
        <v/>
      </c>
      <c r="B12" s="255"/>
      <c r="C12" s="276"/>
      <c r="D12" s="255"/>
      <c r="E12" s="255"/>
      <c r="F12" s="255"/>
      <c r="G12" s="255"/>
      <c r="H12" s="229">
        <f t="shared" si="0"/>
        <v>0</v>
      </c>
      <c r="I12" s="255"/>
      <c r="J12" s="255"/>
      <c r="K12" s="255"/>
      <c r="L12" s="255"/>
    </row>
    <row r="13" spans="1:12">
      <c r="A13" t="str">
        <f>IF(OR(ABS(D13)&gt;0,ABS(F13)&gt;0,ABS(G13)&gt;0,ABS(H13)&gt;0),基础信息!$B$1,"")</f>
        <v/>
      </c>
      <c r="B13" s="255"/>
      <c r="C13" s="276"/>
      <c r="D13" s="255"/>
      <c r="E13" s="255"/>
      <c r="F13" s="255"/>
      <c r="G13" s="255"/>
      <c r="H13" s="229">
        <f t="shared" si="0"/>
        <v>0</v>
      </c>
      <c r="I13" s="255"/>
      <c r="J13" s="255"/>
      <c r="K13" s="255"/>
      <c r="L13" s="255"/>
    </row>
    <row r="14" spans="1:12">
      <c r="A14" t="str">
        <f>IF(OR(ABS(D14)&gt;0,ABS(F14)&gt;0,ABS(G14)&gt;0,ABS(H14)&gt;0),基础信息!$B$1,"")</f>
        <v/>
      </c>
      <c r="B14" s="255"/>
      <c r="C14" s="276"/>
      <c r="D14" s="255"/>
      <c r="E14" s="255"/>
      <c r="F14" s="255"/>
      <c r="G14" s="255"/>
      <c r="H14" s="229">
        <f t="shared" si="0"/>
        <v>0</v>
      </c>
      <c r="I14" s="255"/>
      <c r="J14" s="255"/>
      <c r="K14" s="255"/>
      <c r="L14"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9257C37-BEF5-429C-A7A4-8898C289F455}">
          <x14:formula1>
            <xm:f>分类表!$107:$107</xm:f>
          </x14:formula1>
          <xm:sqref>C2:C14</xm:sqref>
        </x14:dataValidation>
      </x14:dataValidations>
    </ext>
  </extLst>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codeName="Sheet300">
    <tabColor rgb="FFFFC000"/>
  </sheetPr>
  <dimension ref="A1:E5"/>
  <sheetViews>
    <sheetView workbookViewId="0">
      <selection activeCell="B3" sqref="B3"/>
    </sheetView>
  </sheetViews>
  <sheetFormatPr defaultRowHeight="13.8"/>
  <cols>
    <col min="1" max="1" width="20.44140625" style="18" bestFit="1" customWidth="1"/>
    <col min="2" max="16384" width="8.88671875" style="18"/>
  </cols>
  <sheetData>
    <row r="1" spans="1:5" ht="14.4">
      <c r="A1" s="20" t="s">
        <v>28</v>
      </c>
      <c r="B1" s="20" t="s">
        <v>200</v>
      </c>
      <c r="C1" s="20" t="s">
        <v>359</v>
      </c>
      <c r="D1" s="20" t="s">
        <v>477</v>
      </c>
      <c r="E1" s="20" t="s">
        <v>199</v>
      </c>
    </row>
    <row r="2" spans="1:5" ht="14.4">
      <c r="A2" s="524" t="s">
        <v>594</v>
      </c>
      <c r="B2" s="289">
        <f>ROUND(递延收益中政府补助项目!B6,2)</f>
        <v>0</v>
      </c>
      <c r="C2" s="289">
        <f>ROUND(递延收益中政府补助项目!C6,2)</f>
        <v>0</v>
      </c>
      <c r="D2" s="289">
        <f>ROUND(递延收益中政府补助项目!D6+递延收益中政府补助项目!E6+递延收益中政府补助项目!F6,2)</f>
        <v>0</v>
      </c>
      <c r="E2" s="289">
        <f>ROUND(B2+C2-D2,2)</f>
        <v>0</v>
      </c>
    </row>
    <row r="3" spans="1:5" ht="14.4">
      <c r="A3" s="524" t="s">
        <v>2290</v>
      </c>
      <c r="B3" s="289">
        <f>ROUND(SUM(未实现售后回租损益明细表!G:G),2)</f>
        <v>0</v>
      </c>
      <c r="C3" s="289">
        <f>ROUND(SUM(未实现售后回租损益明细表!H:I),2)</f>
        <v>0</v>
      </c>
      <c r="D3" s="289">
        <f>ROUND(SUM(未实现售后回租损益明细表!J:K),2)</f>
        <v>0</v>
      </c>
      <c r="E3" s="289">
        <f>ROUND(B3+C3-D3,2)</f>
        <v>0</v>
      </c>
    </row>
    <row r="4" spans="1:5" ht="14.4">
      <c r="A4" s="524" t="s">
        <v>202</v>
      </c>
      <c r="B4" s="264"/>
      <c r="C4" s="264"/>
      <c r="D4" s="264"/>
      <c r="E4" s="264"/>
    </row>
    <row r="5" spans="1:5" ht="14.4">
      <c r="A5" s="35" t="s">
        <v>204</v>
      </c>
      <c r="B5" s="156">
        <f>ROUND(SUM(B2:B4),2)</f>
        <v>0</v>
      </c>
      <c r="C5" s="156">
        <f>ROUND(SUM(C2:C4),2)</f>
        <v>0</v>
      </c>
      <c r="D5" s="156">
        <f>ROUND(SUM(D2:D4),2)</f>
        <v>0</v>
      </c>
      <c r="E5" s="156">
        <f>ROUND(SUM(E2:E4),2)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E08E38-49D1-4772-AE48-1C9548337D53}">
          <x14:formula1>
            <xm:f>分类表!$43:$43</xm:f>
          </x14:formula1>
          <xm:sqref>A2:A4</xm:sqref>
        </x14:dataValidation>
      </x14:dataValidations>
    </ext>
  </extLst>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codeName="Sheet301">
    <tabColor rgb="FFFFC000"/>
  </sheetPr>
  <dimension ref="A1:H6"/>
  <sheetViews>
    <sheetView workbookViewId="0">
      <selection activeCell="L21" sqref="L21"/>
    </sheetView>
  </sheetViews>
  <sheetFormatPr defaultRowHeight="13.8"/>
  <cols>
    <col min="1" max="16384" width="8.88671875" style="18"/>
  </cols>
  <sheetData>
    <row r="1" spans="1:8" ht="43.2">
      <c r="A1" s="20" t="s">
        <v>595</v>
      </c>
      <c r="B1" s="20" t="s">
        <v>200</v>
      </c>
      <c r="C1" s="20" t="s">
        <v>596</v>
      </c>
      <c r="D1" s="20" t="s">
        <v>597</v>
      </c>
      <c r="E1" s="20" t="s">
        <v>598</v>
      </c>
      <c r="F1" s="20" t="s">
        <v>304</v>
      </c>
      <c r="G1" s="20" t="s">
        <v>199</v>
      </c>
      <c r="H1" s="20" t="s">
        <v>599</v>
      </c>
    </row>
    <row r="2" spans="1:8">
      <c r="A2" s="600">
        <f>递延收益明细表!B2</f>
        <v>0</v>
      </c>
      <c r="B2" s="600">
        <f>递延收益明细表!F2</f>
        <v>0</v>
      </c>
      <c r="C2" s="600">
        <f>递延收益明细表!G2</f>
        <v>0</v>
      </c>
      <c r="D2" s="600">
        <f>递延收益明细表!H2</f>
        <v>0</v>
      </c>
      <c r="E2" s="600">
        <f>递延收益明细表!I2</f>
        <v>0</v>
      </c>
      <c r="F2" s="600">
        <f>递延收益明细表!J2</f>
        <v>0</v>
      </c>
      <c r="G2" s="600">
        <f>B2+C2-D2-E2+F2</f>
        <v>0</v>
      </c>
      <c r="H2" s="557"/>
    </row>
    <row r="3" spans="1:8">
      <c r="A3" s="600">
        <f>递延收益明细表!B3</f>
        <v>0</v>
      </c>
      <c r="B3" s="600">
        <f>递延收益明细表!F3</f>
        <v>0</v>
      </c>
      <c r="C3" s="600">
        <f>递延收益明细表!G3</f>
        <v>0</v>
      </c>
      <c r="D3" s="600">
        <f>递延收益明细表!H3</f>
        <v>0</v>
      </c>
      <c r="E3" s="600">
        <f>递延收益明细表!I3</f>
        <v>0</v>
      </c>
      <c r="F3" s="600">
        <f>递延收益明细表!J3</f>
        <v>0</v>
      </c>
      <c r="G3" s="600">
        <f t="shared" ref="G3:G5" si="0">B3+C3-D3-E3+F3</f>
        <v>0</v>
      </c>
      <c r="H3" s="557"/>
    </row>
    <row r="4" spans="1:8">
      <c r="A4" s="600">
        <f>递延收益明细表!B4</f>
        <v>0</v>
      </c>
      <c r="B4" s="600">
        <f>递延收益明细表!F4</f>
        <v>0</v>
      </c>
      <c r="C4" s="600">
        <f>递延收益明细表!G4</f>
        <v>0</v>
      </c>
      <c r="D4" s="600">
        <f>递延收益明细表!H4</f>
        <v>0</v>
      </c>
      <c r="E4" s="600">
        <f>递延收益明细表!I4</f>
        <v>0</v>
      </c>
      <c r="F4" s="600">
        <f>递延收益明细表!J4</f>
        <v>0</v>
      </c>
      <c r="G4" s="600">
        <f t="shared" si="0"/>
        <v>0</v>
      </c>
      <c r="H4" s="557"/>
    </row>
    <row r="5" spans="1:8">
      <c r="A5" s="600"/>
      <c r="B5" s="600"/>
      <c r="C5" s="600"/>
      <c r="D5" s="600"/>
      <c r="E5" s="600"/>
      <c r="F5" s="600"/>
      <c r="G5" s="600">
        <f t="shared" si="0"/>
        <v>0</v>
      </c>
      <c r="H5" s="597"/>
    </row>
    <row r="6" spans="1:8" ht="14.4">
      <c r="A6" s="305" t="s">
        <v>204</v>
      </c>
      <c r="B6" s="600">
        <f>SUM(B2:B5)</f>
        <v>0</v>
      </c>
      <c r="C6" s="600">
        <f t="shared" ref="C6:G6" si="1">SUM(C2:C5)</f>
        <v>0</v>
      </c>
      <c r="D6" s="600">
        <f t="shared" si="1"/>
        <v>0</v>
      </c>
      <c r="E6" s="600">
        <f t="shared" si="1"/>
        <v>0</v>
      </c>
      <c r="F6" s="600">
        <f t="shared" si="1"/>
        <v>0</v>
      </c>
      <c r="G6" s="600">
        <f t="shared" si="1"/>
        <v>0</v>
      </c>
      <c r="H6" s="24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B127D-B212-4AC1-8D32-49284DC4375D}">
          <x14:formula1>
            <xm:f>分类表!$58:$58</xm:f>
          </x14:formula1>
          <xm:sqref>H2:H5</xm:sqref>
        </x14:dataValidation>
      </x14:dataValidations>
    </ext>
  </extLst>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06D7-B1AD-4837-9C25-8B997DDDFC3E}">
  <sheetPr codeName="Sheet302"/>
  <dimension ref="A1:M35"/>
  <sheetViews>
    <sheetView workbookViewId="0">
      <selection activeCell="L7" sqref="L7"/>
    </sheetView>
  </sheetViews>
  <sheetFormatPr defaultRowHeight="13.8"/>
  <cols>
    <col min="4" max="5" width="11.6640625" bestFit="1" customWidth="1"/>
    <col min="6" max="6" width="7.5546875" bestFit="1" customWidth="1"/>
    <col min="7" max="7" width="18.33203125" bestFit="1" customWidth="1"/>
    <col min="8" max="8" width="24.88671875" bestFit="1" customWidth="1"/>
    <col min="9" max="9" width="22.6640625" bestFit="1" customWidth="1"/>
    <col min="10" max="10" width="9.5546875" bestFit="1" customWidth="1"/>
    <col min="11" max="11" width="7.5546875" bestFit="1" customWidth="1"/>
    <col min="12" max="12" width="18.33203125" bestFit="1" customWidth="1"/>
  </cols>
  <sheetData>
    <row r="1" spans="1:13">
      <c r="A1" t="s">
        <v>2383</v>
      </c>
      <c r="B1" t="s">
        <v>595</v>
      </c>
      <c r="C1" t="s">
        <v>3849</v>
      </c>
      <c r="D1" t="s">
        <v>3850</v>
      </c>
      <c r="E1" t="s">
        <v>3851</v>
      </c>
      <c r="F1" t="s">
        <v>265</v>
      </c>
      <c r="G1" t="s">
        <v>596</v>
      </c>
      <c r="H1" t="s">
        <v>597</v>
      </c>
      <c r="I1" t="s">
        <v>598</v>
      </c>
      <c r="J1" t="s">
        <v>304</v>
      </c>
      <c r="K1" t="s">
        <v>203</v>
      </c>
      <c r="L1" t="s">
        <v>3847</v>
      </c>
      <c r="M1" t="s">
        <v>3848</v>
      </c>
    </row>
    <row r="2" spans="1:13">
      <c r="A2" t="str">
        <f>IF(OR(F2&gt;0,K2&gt;0),基础信息!$B$1,"")</f>
        <v/>
      </c>
      <c r="B2" s="255"/>
      <c r="C2" s="255"/>
      <c r="D2" s="255"/>
      <c r="E2" s="255"/>
      <c r="F2" s="255"/>
      <c r="G2" s="255"/>
      <c r="H2" s="255"/>
      <c r="I2" s="255"/>
      <c r="J2" s="255"/>
      <c r="K2" s="229">
        <f>F2+G2-H2-I2+J2</f>
        <v>0</v>
      </c>
      <c r="L2" s="557"/>
    </row>
    <row r="3" spans="1:13">
      <c r="A3" t="str">
        <f>IF(OR(F3&gt;0,K3&gt;0),基础信息!$B$1,"")</f>
        <v/>
      </c>
      <c r="B3" s="255"/>
      <c r="C3" s="255"/>
      <c r="D3" s="255"/>
      <c r="E3" s="255"/>
      <c r="F3" s="255"/>
      <c r="G3" s="255"/>
      <c r="H3" s="255"/>
      <c r="I3" s="255"/>
      <c r="J3" s="255"/>
      <c r="K3" s="229">
        <f t="shared" ref="K3:K12" si="0">F3+G3-H3-I3+J3</f>
        <v>0</v>
      </c>
      <c r="L3" s="557"/>
    </row>
    <row r="4" spans="1:13">
      <c r="A4" t="str">
        <f>IF(OR(F4&gt;0,K4&gt;0),基础信息!$B$1,"")</f>
        <v/>
      </c>
      <c r="B4" s="255"/>
      <c r="C4" s="255"/>
      <c r="D4" s="255"/>
      <c r="E4" s="255"/>
      <c r="F4" s="255"/>
      <c r="G4" s="255"/>
      <c r="H4" s="255"/>
      <c r="I4" s="255"/>
      <c r="J4" s="255"/>
      <c r="K4" s="229">
        <f t="shared" si="0"/>
        <v>0</v>
      </c>
      <c r="L4" s="557"/>
    </row>
    <row r="5" spans="1:13">
      <c r="A5" t="str">
        <f>IF(OR(F5&gt;0,K5&gt;0),基础信息!$B$1,"")</f>
        <v/>
      </c>
      <c r="B5" s="255"/>
      <c r="C5" s="255"/>
      <c r="D5" s="255"/>
      <c r="E5" s="255"/>
      <c r="F5" s="255"/>
      <c r="G5" s="255"/>
      <c r="H5" s="255"/>
      <c r="I5" s="255"/>
      <c r="J5" s="255"/>
      <c r="K5" s="229">
        <f t="shared" si="0"/>
        <v>0</v>
      </c>
      <c r="L5" s="557"/>
    </row>
    <row r="6" spans="1:13">
      <c r="A6" t="str">
        <f>IF(OR(F6&gt;0,K6&gt;0),基础信息!$B$1,"")</f>
        <v/>
      </c>
      <c r="B6" s="255"/>
      <c r="C6" s="255"/>
      <c r="D6" s="255"/>
      <c r="E6" s="255"/>
      <c r="F6" s="255"/>
      <c r="G6" s="255"/>
      <c r="H6" s="255"/>
      <c r="I6" s="255"/>
      <c r="J6" s="255"/>
      <c r="K6" s="229">
        <f t="shared" si="0"/>
        <v>0</v>
      </c>
      <c r="L6" s="557"/>
    </row>
    <row r="7" spans="1:13">
      <c r="A7" t="str">
        <f>IF(OR(F7&gt;0,K7&gt;0),基础信息!$B$1,"")</f>
        <v/>
      </c>
      <c r="B7" s="255"/>
      <c r="C7" s="255"/>
      <c r="D7" s="255"/>
      <c r="E7" s="255"/>
      <c r="F7" s="255"/>
      <c r="G7" s="255"/>
      <c r="H7" s="255"/>
      <c r="I7" s="255"/>
      <c r="J7" s="255"/>
      <c r="K7" s="229">
        <f t="shared" si="0"/>
        <v>0</v>
      </c>
      <c r="L7" s="557"/>
    </row>
    <row r="8" spans="1:13">
      <c r="A8" t="str">
        <f>IF(OR(F8&gt;0,K8&gt;0),基础信息!$B$1,"")</f>
        <v/>
      </c>
      <c r="B8" s="255"/>
      <c r="C8" s="255"/>
      <c r="D8" s="255"/>
      <c r="E8" s="255"/>
      <c r="F8" s="255"/>
      <c r="G8" s="255"/>
      <c r="H8" s="255"/>
      <c r="I8" s="255"/>
      <c r="J8" s="255"/>
      <c r="K8" s="229">
        <f t="shared" si="0"/>
        <v>0</v>
      </c>
      <c r="L8" s="557"/>
    </row>
    <row r="9" spans="1:13">
      <c r="A9" t="str">
        <f>IF(OR(F9&gt;0,K9&gt;0),基础信息!$B$1,"")</f>
        <v/>
      </c>
      <c r="B9" s="255"/>
      <c r="C9" s="255"/>
      <c r="D9" s="255"/>
      <c r="E9" s="255"/>
      <c r="F9" s="255"/>
      <c r="G9" s="255"/>
      <c r="H9" s="255"/>
      <c r="I9" s="255"/>
      <c r="J9" s="255"/>
      <c r="K9" s="229">
        <f t="shared" si="0"/>
        <v>0</v>
      </c>
      <c r="L9" s="557"/>
    </row>
    <row r="10" spans="1:13">
      <c r="A10" t="str">
        <f>IF(OR(F10&gt;0,K10&gt;0),基础信息!$B$1,"")</f>
        <v/>
      </c>
      <c r="B10" s="255"/>
      <c r="C10" s="255"/>
      <c r="D10" s="255"/>
      <c r="E10" s="255"/>
      <c r="F10" s="255"/>
      <c r="G10" s="255"/>
      <c r="H10" s="255"/>
      <c r="I10" s="255"/>
      <c r="J10" s="255"/>
      <c r="K10" s="229">
        <f t="shared" si="0"/>
        <v>0</v>
      </c>
      <c r="L10" s="557"/>
    </row>
    <row r="11" spans="1:13">
      <c r="A11" t="str">
        <f>IF(OR(F11&gt;0,K11&gt;0),基础信息!$B$1,"")</f>
        <v/>
      </c>
      <c r="B11" s="255"/>
      <c r="C11" s="255"/>
      <c r="D11" s="255"/>
      <c r="E11" s="255"/>
      <c r="F11" s="255"/>
      <c r="G11" s="255"/>
      <c r="H11" s="255"/>
      <c r="I11" s="255"/>
      <c r="J11" s="255"/>
      <c r="K11" s="229">
        <f t="shared" si="0"/>
        <v>0</v>
      </c>
      <c r="L11" s="557"/>
    </row>
    <row r="12" spans="1:13">
      <c r="A12" t="str">
        <f>IF(OR(F12&gt;0,K12&gt;0),基础信息!$B$1,"")</f>
        <v/>
      </c>
      <c r="B12" s="255"/>
      <c r="C12" s="255"/>
      <c r="D12" s="255"/>
      <c r="E12" s="255"/>
      <c r="F12" s="255"/>
      <c r="G12" s="255"/>
      <c r="H12" s="255"/>
      <c r="I12" s="255"/>
      <c r="J12" s="255"/>
      <c r="K12" s="229">
        <f t="shared" si="0"/>
        <v>0</v>
      </c>
      <c r="L12" s="557"/>
    </row>
    <row r="13" spans="1:13">
      <c r="A13" t="str">
        <f>IF(OR(F13&gt;0,K13&gt;0),基础信息!$B$1,"")</f>
        <v/>
      </c>
    </row>
    <row r="14" spans="1:13">
      <c r="A14" t="str">
        <f>IF(OR(F14&gt;0,K14&gt;0),基础信息!$B$1,"")</f>
        <v/>
      </c>
    </row>
    <row r="15" spans="1:13">
      <c r="A15" t="str">
        <f>IF(OR(F15&gt;0,K15&gt;0),基础信息!$B$1,"")</f>
        <v/>
      </c>
    </row>
    <row r="16" spans="1:13">
      <c r="A16" t="str">
        <f>IF(OR(F16&gt;0,K16&gt;0),基础信息!$B$1,"")</f>
        <v/>
      </c>
    </row>
    <row r="17" spans="1:1">
      <c r="A17" t="str">
        <f>IF(OR(F17&gt;0,K17&gt;0),基础信息!$B$1,"")</f>
        <v/>
      </c>
    </row>
    <row r="18" spans="1:1">
      <c r="A18" t="str">
        <f>IF(OR(F18&gt;0,K18&gt;0),基础信息!$B$1,"")</f>
        <v/>
      </c>
    </row>
    <row r="19" spans="1:1">
      <c r="A19" t="str">
        <f>IF(OR(F19&gt;0,K19&gt;0),基础信息!$B$1,"")</f>
        <v/>
      </c>
    </row>
    <row r="20" spans="1:1">
      <c r="A20" t="str">
        <f>IF(OR(F20&gt;0,K20&gt;0),基础信息!$B$1,"")</f>
        <v/>
      </c>
    </row>
    <row r="21" spans="1:1">
      <c r="A21" t="str">
        <f>IF(OR(F21&gt;0,K21&gt;0),基础信息!$B$1,"")</f>
        <v/>
      </c>
    </row>
    <row r="22" spans="1:1">
      <c r="A22" t="str">
        <f>IF(OR(F22&gt;0,K22&gt;0),基础信息!$B$1,"")</f>
        <v/>
      </c>
    </row>
    <row r="23" spans="1:1">
      <c r="A23" t="str">
        <f>IF(OR(F23&gt;0,K23&gt;0),基础信息!$B$1,"")</f>
        <v/>
      </c>
    </row>
    <row r="24" spans="1:1">
      <c r="A24" t="str">
        <f>IF(OR(F24&gt;0,K24&gt;0),基础信息!$B$1,"")</f>
        <v/>
      </c>
    </row>
    <row r="25" spans="1:1">
      <c r="A25" t="str">
        <f>IF(OR(F25&gt;0,K25&gt;0),基础信息!$B$1,"")</f>
        <v/>
      </c>
    </row>
    <row r="26" spans="1:1">
      <c r="A26" t="str">
        <f>IF(OR(F26&gt;0,K26&gt;0),基础信息!$B$1,"")</f>
        <v/>
      </c>
    </row>
    <row r="27" spans="1:1">
      <c r="A27" t="str">
        <f>IF(OR(F27&gt;0,K27&gt;0),基础信息!$B$1,"")</f>
        <v/>
      </c>
    </row>
    <row r="28" spans="1:1">
      <c r="A28" t="str">
        <f>IF(OR(F28&gt;0,K28&gt;0),基础信息!$B$1,"")</f>
        <v/>
      </c>
    </row>
    <row r="29" spans="1:1">
      <c r="A29" t="str">
        <f>IF(OR(F29&gt;0,K29&gt;0),基础信息!$B$1,"")</f>
        <v/>
      </c>
    </row>
    <row r="30" spans="1:1">
      <c r="A30" t="str">
        <f>IF(OR(F30&gt;0,K30&gt;0),基础信息!$B$1,"")</f>
        <v/>
      </c>
    </row>
    <row r="31" spans="1:1">
      <c r="A31" t="str">
        <f>IF(OR(F31&gt;0,K31&gt;0),基础信息!$B$1,"")</f>
        <v/>
      </c>
    </row>
    <row r="32" spans="1:1">
      <c r="A32" t="str">
        <f>IF(OR(F32&gt;0,K32&gt;0),基础信息!$B$1,"")</f>
        <v/>
      </c>
    </row>
    <row r="33" spans="1:1">
      <c r="A33" t="str">
        <f>IF(OR(F33&gt;0,K33&gt;0),基础信息!$B$1,"")</f>
        <v/>
      </c>
    </row>
    <row r="34" spans="1:1">
      <c r="A34" t="str">
        <f>IF(OR(F34&gt;0,K34&gt;0),基础信息!$B$1,"")</f>
        <v/>
      </c>
    </row>
    <row r="35" spans="1:1">
      <c r="A35" t="str">
        <f>IF(OR(F35&gt;0,K35&gt;0),基础信息!$B$1,"")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3B0D97-3294-496F-8F04-219F76F3D082}">
          <x14:formula1>
            <xm:f>分类表!$58:$58</xm:f>
          </x14:formula1>
          <xm:sqref>L2:L12</xm:sqref>
        </x14:dataValidation>
      </x14:dataValidations>
    </ext>
  </extLst>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0061-C9FE-4BAE-90B5-81DCA19F93DB}">
  <sheetPr codeName="Sheet303"/>
  <dimension ref="A1:L11"/>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3.8"/>
  <cols>
    <col min="1" max="1" width="13.88671875" bestFit="1" customWidth="1"/>
    <col min="2" max="2" width="13.88671875" customWidth="1"/>
    <col min="3" max="3" width="14.77734375" bestFit="1" customWidth="1"/>
    <col min="4" max="4" width="10.6640625" style="229" bestFit="1" customWidth="1"/>
    <col min="5" max="6" width="8.6640625" style="229" bestFit="1" customWidth="1"/>
    <col min="7" max="9" width="10.6640625" style="229" bestFit="1" customWidth="1"/>
    <col min="10" max="10" width="15.109375" style="229" bestFit="1" customWidth="1"/>
    <col min="11" max="12" width="10.6640625" style="229" bestFit="1" customWidth="1"/>
  </cols>
  <sheetData>
    <row r="1" spans="1:12">
      <c r="A1" t="s">
        <v>2383</v>
      </c>
      <c r="B1" t="s">
        <v>3523</v>
      </c>
      <c r="C1" t="s">
        <v>95</v>
      </c>
      <c r="D1" s="229" t="s">
        <v>3811</v>
      </c>
      <c r="E1" s="229" t="s">
        <v>3813</v>
      </c>
      <c r="F1" s="229" t="s">
        <v>3814</v>
      </c>
      <c r="G1" s="229" t="s">
        <v>246</v>
      </c>
      <c r="H1" s="229" t="s">
        <v>3853</v>
      </c>
      <c r="I1" s="229" t="s">
        <v>3817</v>
      </c>
      <c r="J1" s="229" t="s">
        <v>3852</v>
      </c>
      <c r="K1" s="229" t="s">
        <v>358</v>
      </c>
      <c r="L1" s="229" t="s">
        <v>390</v>
      </c>
    </row>
    <row r="2" spans="1:12">
      <c r="A2" t="str">
        <f>IF(OR(G2&gt;0,L2&gt;0),基础信息!$B$1,"")</f>
        <v/>
      </c>
      <c r="B2" s="255"/>
      <c r="C2" s="255"/>
      <c r="D2" s="288"/>
      <c r="E2" s="288"/>
      <c r="F2" s="288"/>
      <c r="G2" s="288"/>
      <c r="H2" s="288"/>
      <c r="I2" s="288"/>
      <c r="J2" s="288"/>
      <c r="K2" s="288"/>
      <c r="L2" s="229">
        <f>G2+H2+I2-J2-K2</f>
        <v>0</v>
      </c>
    </row>
    <row r="3" spans="1:12">
      <c r="A3" t="str">
        <f>IF(OR(G3&gt;0,L3&gt;0),基础信息!$B$1,"")</f>
        <v/>
      </c>
      <c r="B3" s="255"/>
      <c r="C3" s="255"/>
      <c r="D3" s="288"/>
      <c r="E3" s="288"/>
      <c r="F3" s="288"/>
      <c r="G3" s="288"/>
      <c r="H3" s="288"/>
      <c r="I3" s="288"/>
      <c r="J3" s="288"/>
      <c r="K3" s="288"/>
      <c r="L3" s="229">
        <f>G3+H3+I3-J3-K3</f>
        <v>0</v>
      </c>
    </row>
    <row r="4" spans="1:12">
      <c r="A4" t="str">
        <f>IF(OR(G4&gt;0,L4&gt;0),基础信息!$B$1,"")</f>
        <v/>
      </c>
      <c r="B4" s="255"/>
      <c r="C4" s="255"/>
      <c r="D4" s="288"/>
      <c r="E4" s="288"/>
      <c r="F4" s="288"/>
      <c r="G4" s="288"/>
      <c r="H4" s="288"/>
      <c r="I4" s="288"/>
      <c r="J4" s="288"/>
      <c r="K4" s="288"/>
      <c r="L4" s="229">
        <f t="shared" ref="L4:L10" si="0">G4+H4+I4-J4-K4</f>
        <v>0</v>
      </c>
    </row>
    <row r="5" spans="1:12">
      <c r="A5" t="str">
        <f>IF(OR(G5&gt;0,L5&gt;0),基础信息!$B$1,"")</f>
        <v/>
      </c>
      <c r="B5" s="255"/>
      <c r="C5" s="255"/>
      <c r="D5" s="288"/>
      <c r="E5" s="288"/>
      <c r="F5" s="288"/>
      <c r="G5" s="288"/>
      <c r="H5" s="288"/>
      <c r="I5" s="288"/>
      <c r="J5" s="288"/>
      <c r="K5" s="288"/>
      <c r="L5" s="229">
        <f t="shared" si="0"/>
        <v>0</v>
      </c>
    </row>
    <row r="6" spans="1:12">
      <c r="A6" t="str">
        <f>IF(OR(G6&gt;0,L6&gt;0),基础信息!$B$1,"")</f>
        <v/>
      </c>
      <c r="B6" s="255"/>
      <c r="C6" s="255"/>
      <c r="D6" s="288"/>
      <c r="E6" s="288"/>
      <c r="F6" s="288"/>
      <c r="G6" s="288"/>
      <c r="H6" s="288"/>
      <c r="I6" s="288"/>
      <c r="J6" s="288"/>
      <c r="K6" s="288"/>
      <c r="L6" s="229">
        <f t="shared" si="0"/>
        <v>0</v>
      </c>
    </row>
    <row r="7" spans="1:12">
      <c r="A7" t="str">
        <f>IF(OR(G7&gt;0,L7&gt;0),基础信息!$B$1,"")</f>
        <v/>
      </c>
      <c r="B7" s="255"/>
      <c r="C7" s="255"/>
      <c r="D7" s="288"/>
      <c r="E7" s="288"/>
      <c r="F7" s="288"/>
      <c r="G7" s="288"/>
      <c r="H7" s="288"/>
      <c r="I7" s="288"/>
      <c r="J7" s="288"/>
      <c r="K7" s="288"/>
      <c r="L7" s="229">
        <f t="shared" si="0"/>
        <v>0</v>
      </c>
    </row>
    <row r="8" spans="1:12">
      <c r="A8" t="str">
        <f>IF(OR(G8&gt;0,L8&gt;0),基础信息!$B$1,"")</f>
        <v/>
      </c>
      <c r="B8" s="255"/>
      <c r="C8" s="255"/>
      <c r="D8" s="288"/>
      <c r="E8" s="288"/>
      <c r="F8" s="288"/>
      <c r="G8" s="288"/>
      <c r="H8" s="288"/>
      <c r="I8" s="288"/>
      <c r="J8" s="288"/>
      <c r="K8" s="288"/>
      <c r="L8" s="229">
        <f t="shared" si="0"/>
        <v>0</v>
      </c>
    </row>
    <row r="9" spans="1:12">
      <c r="A9" t="str">
        <f>IF(OR(G9&gt;0,L9&gt;0),基础信息!$B$1,"")</f>
        <v/>
      </c>
      <c r="B9" s="255"/>
      <c r="C9" s="255"/>
      <c r="D9" s="288"/>
      <c r="E9" s="288"/>
      <c r="F9" s="288"/>
      <c r="G9" s="288"/>
      <c r="H9" s="288"/>
      <c r="I9" s="288"/>
      <c r="J9" s="288"/>
      <c r="K9" s="288"/>
      <c r="L9" s="229">
        <f t="shared" si="0"/>
        <v>0</v>
      </c>
    </row>
    <row r="10" spans="1:12">
      <c r="A10" t="str">
        <f>IF(OR(G10&gt;0,L10&gt;0),基础信息!$B$1,"")</f>
        <v/>
      </c>
      <c r="B10" s="255"/>
      <c r="C10" s="255"/>
      <c r="D10" s="288"/>
      <c r="E10" s="288"/>
      <c r="F10" s="288"/>
      <c r="G10" s="288"/>
      <c r="H10" s="288"/>
      <c r="I10" s="288"/>
      <c r="J10" s="288"/>
      <c r="K10" s="288"/>
      <c r="L10" s="229">
        <f t="shared" si="0"/>
        <v>0</v>
      </c>
    </row>
    <row r="11" spans="1:12">
      <c r="A11" t="str">
        <f>IF(OR(G11&gt;0,L11&gt;0),基础信息!$B$1,"")</f>
        <v/>
      </c>
      <c r="B11" s="255"/>
      <c r="C11" s="255"/>
      <c r="D11" s="288"/>
      <c r="E11" s="288"/>
      <c r="F11" s="288"/>
      <c r="G11" s="288"/>
      <c r="H11" s="288"/>
      <c r="I11" s="288"/>
      <c r="J11" s="288"/>
      <c r="K11" s="288"/>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codeName="Sheet28">
    <tabColor rgb="FF00B0F0"/>
  </sheetPr>
  <dimension ref="A1:B11"/>
  <sheetViews>
    <sheetView workbookViewId="0">
      <selection activeCell="D14" sqref="D14"/>
    </sheetView>
  </sheetViews>
  <sheetFormatPr defaultRowHeight="13.8"/>
  <cols>
    <col min="1" max="1" width="39.109375" bestFit="1" customWidth="1"/>
    <col min="2" max="2" width="14.33203125" style="229" bestFit="1" customWidth="1"/>
  </cols>
  <sheetData>
    <row r="1" spans="1:2">
      <c r="A1" t="s">
        <v>95</v>
      </c>
      <c r="B1" s="229" t="s">
        <v>2478</v>
      </c>
    </row>
    <row r="2" spans="1:2">
      <c r="A2" t="s">
        <v>770</v>
      </c>
      <c r="B2" s="229">
        <f>利润表!B26</f>
        <v>0</v>
      </c>
    </row>
    <row r="3" spans="1:2">
      <c r="A3" t="s">
        <v>2830</v>
      </c>
      <c r="B3" s="229">
        <f>VLOOKUP("与企业日常活动无关的政府补助",营业外收入!A:B,2,0)</f>
        <v>0</v>
      </c>
    </row>
    <row r="4" spans="1:2">
      <c r="A4" t="s">
        <v>2831</v>
      </c>
      <c r="B4" s="229">
        <f>负债表!B41</f>
        <v>0</v>
      </c>
    </row>
    <row r="5" spans="1:2">
      <c r="A5" t="s">
        <v>2832</v>
      </c>
      <c r="B5" s="229">
        <f>负债表!C41</f>
        <v>0</v>
      </c>
    </row>
    <row r="6" spans="1:2">
      <c r="A6" t="s">
        <v>2834</v>
      </c>
      <c r="B6" s="379"/>
    </row>
    <row r="7" spans="1:2">
      <c r="A7" t="s">
        <v>2835</v>
      </c>
      <c r="B7" s="379"/>
    </row>
    <row r="9" spans="1:2">
      <c r="A9" t="s">
        <v>2833</v>
      </c>
      <c r="B9" s="229">
        <f>B2+B3+B4-B5+B6-B7</f>
        <v>0</v>
      </c>
    </row>
    <row r="10" spans="1:2">
      <c r="A10" t="s">
        <v>2838</v>
      </c>
      <c r="B10" s="229">
        <f>VLOOKUP("政府补助",收到其他与经营活动有关的现金!A:B,2,0)</f>
        <v>0</v>
      </c>
    </row>
    <row r="11" spans="1:2">
      <c r="A11" t="s">
        <v>2351</v>
      </c>
      <c r="B11" s="229">
        <f>B9-B10</f>
        <v>0</v>
      </c>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codeName="Sheet304">
    <tabColor rgb="FFFFC000"/>
  </sheetPr>
  <dimension ref="A1:C5"/>
  <sheetViews>
    <sheetView workbookViewId="0">
      <selection activeCell="H15" sqref="H15"/>
    </sheetView>
  </sheetViews>
  <sheetFormatPr defaultRowHeight="13.8"/>
  <cols>
    <col min="1" max="16384" width="8.88671875" style="18"/>
  </cols>
  <sheetData>
    <row r="1" spans="1:3" ht="14.4">
      <c r="A1" s="31" t="s">
        <v>28</v>
      </c>
      <c r="B1" s="20" t="s">
        <v>203</v>
      </c>
      <c r="C1" s="20" t="s">
        <v>265</v>
      </c>
    </row>
    <row r="2" spans="1:3" ht="14.4">
      <c r="A2" s="306"/>
      <c r="B2" s="280"/>
      <c r="C2" s="280"/>
    </row>
    <row r="3" spans="1:3" ht="14.4">
      <c r="A3" s="306"/>
      <c r="B3" s="280"/>
      <c r="C3" s="280"/>
    </row>
    <row r="4" spans="1:3" ht="14.4">
      <c r="A4" s="306"/>
      <c r="B4" s="280"/>
      <c r="C4" s="280"/>
    </row>
    <row r="5" spans="1:3" ht="14.4">
      <c r="A5" s="31" t="s">
        <v>204</v>
      </c>
      <c r="B5" s="21">
        <f>ROUND(SUM(B2:B4),2)</f>
        <v>0</v>
      </c>
      <c r="C5" s="21">
        <f>ROUND(SUM(C2:C4),2)</f>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codeName="Sheet305">
    <tabColor rgb="FFFFC000"/>
  </sheetPr>
  <dimension ref="A1:G7"/>
  <sheetViews>
    <sheetView workbookViewId="0">
      <selection activeCell="F15" sqref="F15"/>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40" t="s">
        <v>600</v>
      </c>
      <c r="B1" s="40" t="s">
        <v>603</v>
      </c>
      <c r="C1" s="40" t="s">
        <v>604</v>
      </c>
      <c r="D1" s="40" t="s">
        <v>342</v>
      </c>
      <c r="E1" s="40" t="s">
        <v>335</v>
      </c>
      <c r="F1" s="40" t="s">
        <v>605</v>
      </c>
      <c r="G1" s="40" t="s">
        <v>606</v>
      </c>
    </row>
    <row r="2" spans="1:7" ht="14.4">
      <c r="A2" s="610"/>
      <c r="B2" s="565"/>
      <c r="C2" s="565" t="e">
        <f>B2/$B$6*100</f>
        <v>#DIV/0!</v>
      </c>
      <c r="D2" s="610"/>
      <c r="E2" s="610"/>
      <c r="F2" s="565">
        <f>ROUND(B2+D2-E2,2)</f>
        <v>0</v>
      </c>
      <c r="G2" s="565" t="e">
        <f>F2/$F$6*100</f>
        <v>#DIV/0!</v>
      </c>
    </row>
    <row r="3" spans="1:7" ht="14.4">
      <c r="A3" s="565"/>
      <c r="B3" s="264"/>
      <c r="C3" s="565" t="e">
        <f t="shared" ref="C3:C5" si="0">B3/$B$6*100</f>
        <v>#DIV/0!</v>
      </c>
      <c r="D3" s="264"/>
      <c r="E3" s="264"/>
      <c r="F3" s="565">
        <f>ROUND(B3+D3-E3,2)</f>
        <v>0</v>
      </c>
      <c r="G3" s="565" t="e">
        <f t="shared" ref="G3:G5" si="1">F3/$F$6*100</f>
        <v>#DIV/0!</v>
      </c>
    </row>
    <row r="4" spans="1:7" ht="14.4">
      <c r="A4" s="611"/>
      <c r="B4" s="264"/>
      <c r="C4" s="565" t="e">
        <f t="shared" si="0"/>
        <v>#DIV/0!</v>
      </c>
      <c r="D4" s="264"/>
      <c r="E4" s="264"/>
      <c r="F4" s="565">
        <f>ROUND(B4+D4-E4,2)</f>
        <v>0</v>
      </c>
      <c r="G4" s="565" t="e">
        <f t="shared" si="1"/>
        <v>#DIV/0!</v>
      </c>
    </row>
    <row r="5" spans="1:7" ht="14.4">
      <c r="A5" s="611"/>
      <c r="B5" s="264"/>
      <c r="C5" s="565" t="e">
        <f t="shared" si="0"/>
        <v>#DIV/0!</v>
      </c>
      <c r="D5" s="264"/>
      <c r="E5" s="264"/>
      <c r="F5" s="565">
        <f>ROUND(B5+D5-E5,2)</f>
        <v>0</v>
      </c>
      <c r="G5" s="565" t="e">
        <f t="shared" si="1"/>
        <v>#DIV/0!</v>
      </c>
    </row>
    <row r="6" spans="1:7" ht="14.4">
      <c r="A6" s="612" t="s">
        <v>1914</v>
      </c>
      <c r="B6" s="156">
        <f>ROUND(SUM(B2:B5),2)</f>
        <v>0</v>
      </c>
      <c r="C6" s="156"/>
      <c r="D6" s="156">
        <f>ROUND(SUM(D2:D5),2)</f>
        <v>0</v>
      </c>
      <c r="E6" s="156">
        <f>ROUND(SUM(E2:E5),2)</f>
        <v>0</v>
      </c>
      <c r="F6" s="156">
        <f>ROUND(SUM(F2:F5),2)</f>
        <v>0</v>
      </c>
      <c r="G6" s="156"/>
    </row>
    <row r="7" spans="1:7">
      <c r="A7" s="41"/>
      <c r="B7" s="39"/>
      <c r="C7" s="39"/>
      <c r="D7" s="39"/>
      <c r="E7" s="39"/>
      <c r="F7" s="39"/>
      <c r="G7" s="39"/>
    </row>
  </sheetData>
  <phoneticPr fontId="1" type="noConversion"/>
  <pageMargins left="0.7" right="0.7" top="0.75" bottom="0.75" header="0.3" footer="0.3"/>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codeName="Sheet306">
    <tabColor rgb="FFFFC000"/>
  </sheetPr>
  <dimension ref="A1:H2"/>
  <sheetViews>
    <sheetView workbookViewId="0">
      <selection activeCell="M31" sqref="M3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28</v>
      </c>
      <c r="B1" s="32" t="s">
        <v>265</v>
      </c>
      <c r="C1" s="20" t="s">
        <v>607</v>
      </c>
      <c r="D1" s="20" t="s">
        <v>601</v>
      </c>
      <c r="E1" s="20" t="s">
        <v>608</v>
      </c>
      <c r="F1" s="20" t="s">
        <v>202</v>
      </c>
      <c r="G1" s="20" t="s">
        <v>546</v>
      </c>
      <c r="H1" s="32" t="s">
        <v>203</v>
      </c>
    </row>
    <row r="2" spans="1:8" ht="14.4">
      <c r="A2" s="19" t="s">
        <v>602</v>
      </c>
      <c r="B2" s="280"/>
      <c r="C2" s="280"/>
      <c r="D2" s="280"/>
      <c r="E2" s="280"/>
      <c r="F2" s="280"/>
      <c r="G2" s="280"/>
      <c r="H2" s="280"/>
    </row>
  </sheetData>
  <phoneticPr fontId="1" type="noConversion"/>
  <pageMargins left="0.7" right="0.7" top="0.75" bottom="0.75" header="0.3" footer="0.3"/>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codeName="Sheet307">
    <tabColor rgb="FFFFC000"/>
  </sheetPr>
  <dimension ref="A1:I4"/>
  <sheetViews>
    <sheetView workbookViewId="0">
      <selection activeCell="I14" sqref="I14"/>
    </sheetView>
  </sheetViews>
  <sheetFormatPr defaultRowHeight="13.8"/>
  <cols>
    <col min="1" max="16384" width="8.88671875" style="18"/>
  </cols>
  <sheetData>
    <row r="1" spans="1:9" ht="28.8">
      <c r="A1" s="32" t="s">
        <v>28</v>
      </c>
      <c r="B1" s="32" t="s">
        <v>561</v>
      </c>
      <c r="C1" s="32" t="s">
        <v>221</v>
      </c>
      <c r="D1" s="32" t="s">
        <v>558</v>
      </c>
      <c r="E1" s="32" t="s">
        <v>342</v>
      </c>
      <c r="F1" s="32" t="s">
        <v>559</v>
      </c>
      <c r="G1" s="32" t="s">
        <v>335</v>
      </c>
      <c r="H1" s="32" t="s">
        <v>560</v>
      </c>
      <c r="I1" s="32" t="s">
        <v>216</v>
      </c>
    </row>
    <row r="2" spans="1:9" ht="14.4">
      <c r="A2" s="268"/>
      <c r="B2" s="280"/>
      <c r="C2" s="280"/>
      <c r="D2" s="280"/>
      <c r="E2" s="280"/>
      <c r="F2" s="280"/>
      <c r="G2" s="280"/>
      <c r="H2" s="21">
        <f>ROUND(B2+D2-F2,2)</f>
        <v>0</v>
      </c>
      <c r="I2" s="21">
        <f>ROUND(C2+E2-G2,2)</f>
        <v>0</v>
      </c>
    </row>
    <row r="3" spans="1:9" ht="14.4">
      <c r="A3" s="268"/>
      <c r="B3" s="280"/>
      <c r="C3" s="280"/>
      <c r="D3" s="280"/>
      <c r="E3" s="280"/>
      <c r="F3" s="280"/>
      <c r="G3" s="280"/>
      <c r="H3" s="21">
        <f>ROUND(B3+D3-F3,2)</f>
        <v>0</v>
      </c>
      <c r="I3" s="21">
        <f>ROUND(C3+E3-G3,2)</f>
        <v>0</v>
      </c>
    </row>
    <row r="4" spans="1:9" ht="14.4">
      <c r="A4" s="19" t="s">
        <v>204</v>
      </c>
      <c r="B4" s="21">
        <f t="shared" ref="B4:I4" si="0">ROUND(SUM(B2:B3),2)</f>
        <v>0</v>
      </c>
      <c r="C4" s="21">
        <f t="shared" si="0"/>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codeName="Sheet308">
    <tabColor rgb="FFFFC000"/>
  </sheetPr>
  <dimension ref="A1:E4"/>
  <sheetViews>
    <sheetView workbookViewId="0">
      <selection activeCell="H15" sqref="H15"/>
    </sheetView>
  </sheetViews>
  <sheetFormatPr defaultRowHeight="13.8"/>
  <cols>
    <col min="1" max="1" width="13.88671875" style="18" bestFit="1" customWidth="1"/>
    <col min="2" max="16384" width="8.88671875" style="18"/>
  </cols>
  <sheetData>
    <row r="1" spans="1:5" ht="14.4">
      <c r="A1" s="35" t="s">
        <v>28</v>
      </c>
      <c r="B1" s="35" t="s">
        <v>200</v>
      </c>
      <c r="C1" s="35" t="s">
        <v>359</v>
      </c>
      <c r="D1" s="35" t="s">
        <v>477</v>
      </c>
      <c r="E1" s="35" t="s">
        <v>199</v>
      </c>
    </row>
    <row r="2" spans="1:5" ht="14.4">
      <c r="A2" s="38" t="s">
        <v>609</v>
      </c>
      <c r="B2" s="264"/>
      <c r="C2" s="264"/>
      <c r="D2" s="264"/>
      <c r="E2" s="156">
        <f>ROUND(B2+C2-D2,2)</f>
        <v>0</v>
      </c>
    </row>
    <row r="3" spans="1:5" ht="14.4">
      <c r="A3" s="38" t="s">
        <v>610</v>
      </c>
      <c r="B3" s="264"/>
      <c r="C3" s="264"/>
      <c r="D3" s="264"/>
      <c r="E3" s="156">
        <f>ROUND(B3+C3-D3,2)</f>
        <v>0</v>
      </c>
    </row>
    <row r="4" spans="1:5" ht="14.4">
      <c r="A4" s="35" t="s">
        <v>204</v>
      </c>
      <c r="B4" s="156">
        <f>ROUND(SUM(B2:B3),2)</f>
        <v>0</v>
      </c>
      <c r="C4" s="156">
        <f>ROUND(SUM(C2:C3),2)</f>
        <v>0</v>
      </c>
      <c r="D4" s="156">
        <f>ROUND(SUM(D2:D3),2)</f>
        <v>0</v>
      </c>
      <c r="E4" s="156">
        <f>ROUND(SUM(E2:E3),2)</f>
        <v>0</v>
      </c>
    </row>
  </sheetData>
  <phoneticPr fontId="1"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codeName="Sheet309">
    <tabColor rgb="FFFFC000"/>
  </sheetPr>
  <dimension ref="A1:I14"/>
  <sheetViews>
    <sheetView workbookViewId="0">
      <selection activeCell="M5" sqref="M5"/>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28</v>
      </c>
      <c r="B1" s="232" t="s">
        <v>200</v>
      </c>
      <c r="C1" s="232" t="s">
        <v>611</v>
      </c>
      <c r="D1" s="232" t="s">
        <v>612</v>
      </c>
      <c r="E1" s="232" t="s">
        <v>613</v>
      </c>
      <c r="F1" s="232" t="s">
        <v>614</v>
      </c>
      <c r="G1" s="232" t="s">
        <v>615</v>
      </c>
      <c r="H1" s="232" t="s">
        <v>616</v>
      </c>
      <c r="I1" s="245" t="s">
        <v>203</v>
      </c>
    </row>
    <row r="2" spans="1:9">
      <c r="A2" s="23" t="s">
        <v>617</v>
      </c>
      <c r="B2" s="233">
        <f t="shared" ref="B2:I2" si="0">ROUND(SUM(B3:B6),2)</f>
        <v>0</v>
      </c>
      <c r="C2" s="233">
        <f t="shared" si="0"/>
        <v>0</v>
      </c>
      <c r="D2" s="233">
        <f t="shared" si="0"/>
        <v>0</v>
      </c>
      <c r="E2" s="233">
        <f t="shared" si="0"/>
        <v>0</v>
      </c>
      <c r="F2" s="233">
        <f t="shared" si="0"/>
        <v>0</v>
      </c>
      <c r="G2" s="233">
        <f t="shared" si="0"/>
        <v>0</v>
      </c>
      <c r="H2" s="233">
        <f t="shared" si="0"/>
        <v>0</v>
      </c>
      <c r="I2" s="233">
        <f t="shared" si="0"/>
        <v>0</v>
      </c>
    </row>
    <row r="3" spans="1:9">
      <c r="A3" s="23" t="s">
        <v>618</v>
      </c>
      <c r="B3" s="310"/>
      <c r="C3" s="310"/>
      <c r="D3" s="310"/>
      <c r="E3" s="310"/>
      <c r="F3" s="310"/>
      <c r="G3" s="310"/>
      <c r="H3" s="310"/>
      <c r="I3" s="233">
        <f>ROUND(B3+C3-D3-E3-F3,2)</f>
        <v>0</v>
      </c>
    </row>
    <row r="4" spans="1:9">
      <c r="A4" s="23" t="s">
        <v>619</v>
      </c>
      <c r="B4" s="310"/>
      <c r="C4" s="310"/>
      <c r="D4" s="310"/>
      <c r="E4" s="310"/>
      <c r="F4" s="310"/>
      <c r="G4" s="310"/>
      <c r="H4" s="310"/>
      <c r="I4" s="233">
        <f>ROUND(B4+C4-D4-E4-F4,2)</f>
        <v>0</v>
      </c>
    </row>
    <row r="5" spans="1:9">
      <c r="A5" s="23" t="s">
        <v>620</v>
      </c>
      <c r="B5" s="310"/>
      <c r="C5" s="310"/>
      <c r="D5" s="310"/>
      <c r="E5" s="310"/>
      <c r="F5" s="310"/>
      <c r="G5" s="310"/>
      <c r="H5" s="310"/>
      <c r="I5" s="233">
        <f>ROUND(B5+C5-D5-E5-F5,2)</f>
        <v>0</v>
      </c>
    </row>
    <row r="6" spans="1:9">
      <c r="A6" s="23" t="s">
        <v>621</v>
      </c>
      <c r="B6" s="310"/>
      <c r="C6" s="310"/>
      <c r="D6" s="310"/>
      <c r="E6" s="310"/>
      <c r="F6" s="310"/>
      <c r="G6" s="310"/>
      <c r="H6" s="310"/>
      <c r="I6" s="233">
        <f>ROUND(B6+C6-D6-E6-F6,2)</f>
        <v>0</v>
      </c>
    </row>
    <row r="7" spans="1:9">
      <c r="A7" s="23" t="s">
        <v>622</v>
      </c>
      <c r="B7" s="233">
        <f t="shared" ref="B7:I7" si="1">ROUND(SUM(B8:B13),2)</f>
        <v>0</v>
      </c>
      <c r="C7" s="233">
        <f t="shared" si="1"/>
        <v>0</v>
      </c>
      <c r="D7" s="233">
        <f t="shared" si="1"/>
        <v>0</v>
      </c>
      <c r="E7" s="233">
        <f t="shared" si="1"/>
        <v>0</v>
      </c>
      <c r="F7" s="233">
        <f t="shared" si="1"/>
        <v>0</v>
      </c>
      <c r="G7" s="233">
        <f t="shared" si="1"/>
        <v>0</v>
      </c>
      <c r="H7" s="233">
        <f t="shared" si="1"/>
        <v>0</v>
      </c>
      <c r="I7" s="233">
        <f t="shared" si="1"/>
        <v>0</v>
      </c>
    </row>
    <row r="8" spans="1:9">
      <c r="A8" s="23" t="s">
        <v>623</v>
      </c>
      <c r="B8" s="310"/>
      <c r="C8" s="310"/>
      <c r="D8" s="310"/>
      <c r="E8" s="310"/>
      <c r="F8" s="310"/>
      <c r="G8" s="310"/>
      <c r="H8" s="310"/>
      <c r="I8" s="233">
        <f t="shared" ref="I8:I13" si="2">ROUND(B8+C8-D8-E8-F8,2)</f>
        <v>0</v>
      </c>
    </row>
    <row r="9" spans="1:9">
      <c r="A9" s="23" t="s">
        <v>484</v>
      </c>
      <c r="B9" s="310"/>
      <c r="C9" s="310"/>
      <c r="D9" s="310"/>
      <c r="E9" s="310"/>
      <c r="F9" s="310"/>
      <c r="G9" s="310"/>
      <c r="H9" s="310"/>
      <c r="I9" s="233">
        <f t="shared" si="2"/>
        <v>0</v>
      </c>
    </row>
    <row r="10" spans="1:9">
      <c r="A10" s="23" t="s">
        <v>624</v>
      </c>
      <c r="B10" s="310"/>
      <c r="C10" s="310"/>
      <c r="D10" s="310"/>
      <c r="E10" s="310"/>
      <c r="F10" s="310"/>
      <c r="G10" s="310"/>
      <c r="H10" s="310"/>
      <c r="I10" s="233">
        <f t="shared" si="2"/>
        <v>0</v>
      </c>
    </row>
    <row r="11" spans="1:9">
      <c r="A11" s="23" t="s">
        <v>625</v>
      </c>
      <c r="B11" s="310"/>
      <c r="C11" s="310"/>
      <c r="D11" s="310"/>
      <c r="E11" s="310"/>
      <c r="F11" s="310"/>
      <c r="G11" s="310"/>
      <c r="H11" s="310"/>
      <c r="I11" s="233">
        <f t="shared" si="2"/>
        <v>0</v>
      </c>
    </row>
    <row r="12" spans="1:9">
      <c r="A12" s="23" t="s">
        <v>626</v>
      </c>
      <c r="B12" s="310"/>
      <c r="C12" s="310"/>
      <c r="D12" s="310"/>
      <c r="E12" s="310"/>
      <c r="F12" s="310"/>
      <c r="G12" s="310"/>
      <c r="H12" s="310"/>
      <c r="I12" s="233">
        <f t="shared" si="2"/>
        <v>0</v>
      </c>
    </row>
    <row r="13" spans="1:9">
      <c r="A13" s="23" t="s">
        <v>627</v>
      </c>
      <c r="B13" s="310"/>
      <c r="C13" s="310"/>
      <c r="D13" s="310"/>
      <c r="E13" s="310"/>
      <c r="F13" s="310"/>
      <c r="G13" s="310"/>
      <c r="H13" s="310"/>
      <c r="I13" s="233">
        <f t="shared" si="2"/>
        <v>0</v>
      </c>
    </row>
    <row r="14" spans="1:9">
      <c r="A14" s="23" t="s">
        <v>628</v>
      </c>
      <c r="B14" s="233">
        <f t="shared" ref="B14:I14" si="3">ROUND(B2+B7,2)</f>
        <v>0</v>
      </c>
      <c r="C14" s="233">
        <f t="shared" si="3"/>
        <v>0</v>
      </c>
      <c r="D14" s="233">
        <f t="shared" si="3"/>
        <v>0</v>
      </c>
      <c r="E14" s="233">
        <f t="shared" si="3"/>
        <v>0</v>
      </c>
      <c r="F14" s="233">
        <f t="shared" si="3"/>
        <v>0</v>
      </c>
      <c r="G14" s="233">
        <f t="shared" si="3"/>
        <v>0</v>
      </c>
      <c r="H14" s="233">
        <f t="shared" si="3"/>
        <v>0</v>
      </c>
      <c r="I14" s="233">
        <f t="shared" si="3"/>
        <v>0</v>
      </c>
    </row>
  </sheetData>
  <phoneticPr fontId="1"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codeName="Sheet310">
    <tabColor rgb="FFFFC000"/>
  </sheetPr>
  <dimension ref="A1:E3"/>
  <sheetViews>
    <sheetView workbookViewId="0">
      <selection activeCell="H15" sqref="H15"/>
    </sheetView>
  </sheetViews>
  <sheetFormatPr defaultRowHeight="13.8"/>
  <cols>
    <col min="1" max="1" width="14.5546875" style="18" customWidth="1"/>
    <col min="2" max="16384" width="8.88671875" style="18"/>
  </cols>
  <sheetData>
    <row r="1" spans="1:5" ht="14.4">
      <c r="A1" s="19" t="s">
        <v>28</v>
      </c>
      <c r="B1" s="20" t="s">
        <v>265</v>
      </c>
      <c r="C1" s="20" t="s">
        <v>359</v>
      </c>
      <c r="D1" s="20" t="s">
        <v>477</v>
      </c>
      <c r="E1" s="20" t="s">
        <v>203</v>
      </c>
    </row>
    <row r="2" spans="1:5" ht="14.4">
      <c r="A2" s="19" t="s">
        <v>629</v>
      </c>
      <c r="B2" s="280"/>
      <c r="C2" s="280"/>
      <c r="D2" s="280"/>
      <c r="E2" s="21">
        <f>ROUND(B2+C2-D2,2)</f>
        <v>0</v>
      </c>
    </row>
    <row r="3" spans="1:5" ht="14.4">
      <c r="A3" s="19" t="s">
        <v>204</v>
      </c>
      <c r="B3" s="21">
        <f>ROUND(SUM(B2),2)</f>
        <v>0</v>
      </c>
      <c r="C3" s="21">
        <f>ROUND(SUM(C2),2)</f>
        <v>0</v>
      </c>
      <c r="D3" s="21">
        <f>ROUND(SUM(D2),2)</f>
        <v>0</v>
      </c>
      <c r="E3" s="21">
        <f>ROUND(SUM(E2),2)</f>
        <v>0</v>
      </c>
    </row>
  </sheetData>
  <phoneticPr fontId="1"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codeName="Sheet311">
    <tabColor rgb="FFFFC000"/>
  </sheetPr>
  <dimension ref="A1:F7"/>
  <sheetViews>
    <sheetView workbookViewId="0">
      <selection activeCell="E16" sqref="E16"/>
    </sheetView>
  </sheetViews>
  <sheetFormatPr defaultRowHeight="13.8"/>
  <cols>
    <col min="1" max="1" width="13.88671875" style="18" bestFit="1" customWidth="1"/>
    <col min="2" max="2" width="18.33203125" style="1" bestFit="1" customWidth="1"/>
    <col min="3" max="3" width="13.109375" style="1" customWidth="1"/>
    <col min="4" max="4" width="18.6640625" style="1" customWidth="1"/>
    <col min="5" max="5" width="18.33203125" style="1" bestFit="1" customWidth="1"/>
    <col min="6" max="6" width="8.88671875" style="1"/>
    <col min="7" max="16384" width="8.88671875" style="18"/>
  </cols>
  <sheetData>
    <row r="1" spans="1:5" ht="14.4">
      <c r="A1" s="19" t="s">
        <v>28</v>
      </c>
      <c r="B1" s="153" t="s">
        <v>265</v>
      </c>
      <c r="C1" s="153" t="s">
        <v>359</v>
      </c>
      <c r="D1" s="153" t="s">
        <v>477</v>
      </c>
      <c r="E1" s="153" t="s">
        <v>203</v>
      </c>
    </row>
    <row r="2" spans="1:5" ht="14.4">
      <c r="A2" s="268" t="s">
        <v>630</v>
      </c>
      <c r="B2" s="267">
        <f>ROUND(上期TB!H163,2)</f>
        <v>0</v>
      </c>
      <c r="C2" s="267">
        <f>ROUND(本期TB!H244,2)</f>
        <v>0</v>
      </c>
      <c r="D2" s="267"/>
      <c r="E2" s="68">
        <f>ROUND(B2+C2-D2,2)</f>
        <v>0</v>
      </c>
    </row>
    <row r="3" spans="1:5" ht="14.4">
      <c r="A3" s="268" t="s">
        <v>631</v>
      </c>
      <c r="B3" s="267"/>
      <c r="C3" s="267"/>
      <c r="D3" s="267"/>
      <c r="E3" s="68">
        <f>ROUND(B3+C3-D3,2)</f>
        <v>0</v>
      </c>
    </row>
    <row r="4" spans="1:5" ht="14.4">
      <c r="A4" s="268" t="s">
        <v>632</v>
      </c>
      <c r="B4" s="267"/>
      <c r="C4" s="267"/>
      <c r="D4" s="267"/>
      <c r="E4" s="68">
        <f>ROUND(B4+C4-D4,2)</f>
        <v>0</v>
      </c>
    </row>
    <row r="5" spans="1:5" ht="14.4">
      <c r="A5" s="268" t="s">
        <v>633</v>
      </c>
      <c r="B5" s="267"/>
      <c r="C5" s="267"/>
      <c r="D5" s="267"/>
      <c r="E5" s="68">
        <f>ROUND(B5+C5-D5,2)</f>
        <v>0</v>
      </c>
    </row>
    <row r="6" spans="1:5" ht="14.4">
      <c r="A6" s="268" t="s">
        <v>13</v>
      </c>
      <c r="B6" s="267"/>
      <c r="C6" s="267"/>
      <c r="D6" s="267"/>
      <c r="E6" s="68">
        <f>ROUND(B6+C6-D6,2)</f>
        <v>0</v>
      </c>
    </row>
    <row r="7" spans="1:5" ht="14.4">
      <c r="A7" s="19" t="s">
        <v>204</v>
      </c>
      <c r="B7" s="68">
        <f>ROUND(SUM(B2:B6),2)</f>
        <v>0</v>
      </c>
      <c r="C7" s="68">
        <f>ROUND(SUM(C2:C6),2)</f>
        <v>0</v>
      </c>
      <c r="D7" s="68">
        <f>ROUND(SUM(D2:D6),2)</f>
        <v>0</v>
      </c>
      <c r="E7" s="68">
        <f>ROUND(SUM(E2:E6),2)</f>
        <v>0</v>
      </c>
    </row>
  </sheetData>
  <phoneticPr fontId="1"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codeName="Sheet312">
    <tabColor rgb="FFFFC000"/>
  </sheetPr>
  <dimension ref="A1:C11"/>
  <sheetViews>
    <sheetView workbookViewId="0">
      <selection activeCell="F18" sqref="F18"/>
    </sheetView>
  </sheetViews>
  <sheetFormatPr defaultRowHeight="13.8"/>
  <cols>
    <col min="1" max="1" width="41.6640625" style="18" bestFit="1" customWidth="1"/>
    <col min="2" max="2" width="12" style="18" customWidth="1"/>
    <col min="3" max="3" width="12.77734375" style="18" bestFit="1" customWidth="1"/>
    <col min="4" max="16384" width="8.88671875" style="18"/>
  </cols>
  <sheetData>
    <row r="1" spans="1:3" ht="14.4">
      <c r="A1" s="31" t="s">
        <v>28</v>
      </c>
      <c r="B1" s="20" t="s">
        <v>3367</v>
      </c>
      <c r="C1" s="20" t="s">
        <v>3368</v>
      </c>
    </row>
    <row r="2" spans="1:3" ht="14.4">
      <c r="A2" s="32" t="s">
        <v>635</v>
      </c>
      <c r="B2" s="280">
        <f>ROUND(C11,2)</f>
        <v>0</v>
      </c>
      <c r="C2" s="280">
        <f>ROUND(上期TB!H242,2)</f>
        <v>0</v>
      </c>
    </row>
    <row r="3" spans="1:3" ht="15">
      <c r="A3" s="32" t="s">
        <v>636</v>
      </c>
      <c r="B3" s="280"/>
      <c r="C3" s="280"/>
    </row>
    <row r="4" spans="1:3" ht="14.4">
      <c r="A4" s="32" t="s">
        <v>637</v>
      </c>
      <c r="B4" s="21">
        <f>ROUND(B2+B3,2)</f>
        <v>0</v>
      </c>
      <c r="C4" s="21">
        <f>ROUND(C2+C3,2)</f>
        <v>0</v>
      </c>
    </row>
    <row r="5" spans="1:3" ht="14.4">
      <c r="A5" s="36" t="s">
        <v>638</v>
      </c>
      <c r="B5" s="280">
        <f>ROUND(本期TB!H208,2)</f>
        <v>0</v>
      </c>
      <c r="C5" s="280">
        <f>ROUND(上期TB!H208,2)</f>
        <v>0</v>
      </c>
    </row>
    <row r="6" spans="1:3" ht="14.4">
      <c r="A6" s="36" t="s">
        <v>639</v>
      </c>
      <c r="B6" s="280">
        <f>ROUND(本期TB!H244,2)</f>
        <v>0</v>
      </c>
      <c r="C6" s="280">
        <f>ROUND(上期TB!H244,2)</f>
        <v>0</v>
      </c>
    </row>
    <row r="7" spans="1:3" ht="14.4">
      <c r="A7" s="37" t="s">
        <v>4586</v>
      </c>
      <c r="B7" s="280"/>
      <c r="C7" s="280"/>
    </row>
    <row r="8" spans="1:3" ht="14.4">
      <c r="A8" s="37" t="s">
        <v>4587</v>
      </c>
      <c r="B8" s="280"/>
      <c r="C8" s="280"/>
    </row>
    <row r="9" spans="1:3" ht="14.4">
      <c r="A9" s="37" t="s">
        <v>4588</v>
      </c>
      <c r="B9" s="280">
        <f>ROUND(本期TB!H253,2)</f>
        <v>0</v>
      </c>
      <c r="C9" s="280">
        <f>ROUND(上期TB!H253,2)</f>
        <v>0</v>
      </c>
    </row>
    <row r="10" spans="1:3" ht="14.4">
      <c r="A10" s="37" t="s">
        <v>4589</v>
      </c>
      <c r="B10" s="280"/>
      <c r="C10" s="280"/>
    </row>
    <row r="11" spans="1:3" ht="14.4">
      <c r="A11" s="32" t="s">
        <v>640</v>
      </c>
      <c r="B11" s="21">
        <f>ROUND(B4+B5-SUM(B6:B10),2)</f>
        <v>0</v>
      </c>
      <c r="C11" s="21">
        <f>ROUND(C4+C5-SUM(C6:C10),2)</f>
        <v>0</v>
      </c>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sheetPr codeName="Sheet313">
    <tabColor rgb="FFFFC000"/>
  </sheetPr>
  <dimension ref="A1:E4"/>
  <sheetViews>
    <sheetView workbookViewId="0">
      <selection activeCell="G15" sqref="G15"/>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28</v>
      </c>
      <c r="B1" s="32" t="s">
        <v>641</v>
      </c>
      <c r="C1" s="32" t="s">
        <v>642</v>
      </c>
      <c r="D1" s="32" t="s">
        <v>643</v>
      </c>
      <c r="E1" s="32" t="s">
        <v>644</v>
      </c>
    </row>
    <row r="2" spans="1:5" ht="14.4">
      <c r="A2" s="19" t="s">
        <v>645</v>
      </c>
      <c r="B2" s="68">
        <f>ROUND(主营业务收入与主营业务成本!B7,2)</f>
        <v>0</v>
      </c>
      <c r="C2" s="68">
        <f>ROUND(主营业务收入与主营业务成本!C7,2)</f>
        <v>0</v>
      </c>
      <c r="D2" s="68">
        <f>ROUND(主营业务收入与主营业务成本!D7,2)</f>
        <v>0</v>
      </c>
      <c r="E2" s="68">
        <f>ROUND(主营业务收入与主营业务成本!E7,2)</f>
        <v>0</v>
      </c>
    </row>
    <row r="3" spans="1:5" ht="14.4">
      <c r="A3" s="19" t="s">
        <v>646</v>
      </c>
      <c r="B3" s="68">
        <f>ROUND(其他业务收入与其他业务成本!B11,2)</f>
        <v>0</v>
      </c>
      <c r="C3" s="68">
        <f>ROUND(其他业务收入与其他业务成本!C11,2)</f>
        <v>0</v>
      </c>
      <c r="D3" s="68">
        <f>ROUND(其他业务收入与其他业务成本!D11,2)</f>
        <v>0</v>
      </c>
      <c r="E3" s="68">
        <f>ROUND(其他业务收入与其他业务成本!E11,2)</f>
        <v>0</v>
      </c>
    </row>
    <row r="4" spans="1:5" ht="14.4">
      <c r="A4" s="19" t="s">
        <v>204</v>
      </c>
      <c r="B4" s="68">
        <f>ROUND(SUM(B2:B3),2)</f>
        <v>0</v>
      </c>
      <c r="C4" s="68">
        <f>ROUND(SUM(C2:C3),2)</f>
        <v>0</v>
      </c>
      <c r="D4" s="68">
        <f>ROUND(SUM(D2:D3),2)</f>
        <v>0</v>
      </c>
      <c r="E4" s="68">
        <f>ROUND(SUM(E2:E3),2)</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F6141-F7E0-4242-B6AD-B8D681E03F5B}">
  <dimension ref="A1:S50"/>
  <sheetViews>
    <sheetView workbookViewId="0">
      <selection activeCell="F20" sqref="F20"/>
    </sheetView>
  </sheetViews>
  <sheetFormatPr defaultColWidth="9" defaultRowHeight="13.8"/>
  <cols>
    <col min="2" max="2" width="17.109375" customWidth="1"/>
    <col min="5" max="5" width="9.44140625" customWidth="1"/>
    <col min="7" max="7" width="9.44140625" customWidth="1"/>
    <col min="10" max="10" width="16.44140625" customWidth="1"/>
    <col min="14" max="19" width="15.88671875" customWidth="1"/>
  </cols>
  <sheetData>
    <row r="1" spans="1:19">
      <c r="A1" t="s">
        <v>785</v>
      </c>
      <c r="B1" t="s">
        <v>786</v>
      </c>
      <c r="C1" t="s">
        <v>787</v>
      </c>
      <c r="D1" t="s">
        <v>578</v>
      </c>
      <c r="E1" t="s">
        <v>788</v>
      </c>
      <c r="F1" t="s">
        <v>789</v>
      </c>
      <c r="G1" t="s">
        <v>790</v>
      </c>
      <c r="H1" t="s">
        <v>791</v>
      </c>
      <c r="I1" t="s">
        <v>787</v>
      </c>
      <c r="J1" t="s">
        <v>390</v>
      </c>
    </row>
    <row r="2" spans="1:19">
      <c r="A2">
        <f>L2</f>
        <v>1001</v>
      </c>
      <c r="B2" t="str">
        <f>M2</f>
        <v xml:space="preserve"> 库存现金</v>
      </c>
      <c r="C2" t="str">
        <f>IF(N2&gt;0,"借","贷")</f>
        <v>借</v>
      </c>
      <c r="D2" s="708">
        <f>N2+O2</f>
        <v>2706.17</v>
      </c>
      <c r="E2" s="709">
        <f>P2</f>
        <v>0</v>
      </c>
      <c r="F2" s="709">
        <f>Q2</f>
        <v>623.91999999999996</v>
      </c>
      <c r="G2" s="709">
        <f>E2</f>
        <v>0</v>
      </c>
      <c r="H2" s="709">
        <f>F2</f>
        <v>623.91999999999996</v>
      </c>
      <c r="I2" t="str">
        <f>IF(R2&gt;0,"借","贷")</f>
        <v>借</v>
      </c>
      <c r="J2" s="708">
        <f>R2+S2</f>
        <v>2082.25</v>
      </c>
      <c r="L2">
        <v>1001</v>
      </c>
      <c r="M2" t="s">
        <v>4897</v>
      </c>
      <c r="N2" s="709">
        <v>2706.17</v>
      </c>
      <c r="P2" s="709">
        <v>0</v>
      </c>
      <c r="Q2" s="709">
        <v>623.91999999999996</v>
      </c>
      <c r="R2" s="709">
        <v>2082.25</v>
      </c>
    </row>
    <row r="3" spans="1:19">
      <c r="A3">
        <f t="shared" ref="A3:A50" si="0">L3</f>
        <v>1002</v>
      </c>
      <c r="B3" t="str">
        <f t="shared" ref="B3:B50" si="1">M3</f>
        <v xml:space="preserve"> 银行存款</v>
      </c>
      <c r="C3" t="str">
        <f t="shared" ref="C3:C50" si="2">IF(N3&gt;0,"借","贷")</f>
        <v>借</v>
      </c>
      <c r="D3" s="708">
        <f t="shared" ref="D3:D50" si="3">N3+O3</f>
        <v>664346317.95000005</v>
      </c>
      <c r="E3" s="709">
        <f t="shared" ref="E3:F43" si="4">P3</f>
        <v>29697008005.18</v>
      </c>
      <c r="F3" s="709">
        <f t="shared" si="4"/>
        <v>28706912365.959999</v>
      </c>
      <c r="G3" s="709">
        <f t="shared" ref="G3:H43" si="5">E3</f>
        <v>29697008005.18</v>
      </c>
      <c r="H3" s="709">
        <f t="shared" si="5"/>
        <v>28706912365.959999</v>
      </c>
      <c r="I3" t="str">
        <f t="shared" ref="I3:I50" si="6">IF(R3&gt;0,"借","贷")</f>
        <v>借</v>
      </c>
      <c r="J3" s="708">
        <f t="shared" ref="J3:J50" si="7">R3+S3</f>
        <v>1654441957.1700001</v>
      </c>
      <c r="L3">
        <v>1002</v>
      </c>
      <c r="M3" t="s">
        <v>4898</v>
      </c>
      <c r="N3" s="709">
        <v>664346317.95000005</v>
      </c>
      <c r="P3" s="709">
        <v>29697008005.18</v>
      </c>
      <c r="Q3" s="709">
        <v>28706912365.959999</v>
      </c>
      <c r="R3" s="709">
        <v>1654441957.1700001</v>
      </c>
    </row>
    <row r="4" spans="1:19">
      <c r="A4">
        <f t="shared" si="0"/>
        <v>1012</v>
      </c>
      <c r="B4" t="str">
        <f t="shared" si="1"/>
        <v xml:space="preserve"> 其他货币资金</v>
      </c>
      <c r="C4" t="str">
        <f t="shared" si="2"/>
        <v>借</v>
      </c>
      <c r="D4" s="708">
        <f t="shared" si="3"/>
        <v>50772301.759999998</v>
      </c>
      <c r="E4" s="709">
        <f t="shared" si="4"/>
        <v>0</v>
      </c>
      <c r="F4" s="709">
        <f t="shared" si="4"/>
        <v>50000000</v>
      </c>
      <c r="G4" s="709">
        <f t="shared" si="5"/>
        <v>0</v>
      </c>
      <c r="H4" s="709">
        <f t="shared" si="5"/>
        <v>50000000</v>
      </c>
      <c r="I4" t="str">
        <f t="shared" si="6"/>
        <v>借</v>
      </c>
      <c r="J4" s="708">
        <f t="shared" si="7"/>
        <v>772301.76</v>
      </c>
      <c r="L4">
        <v>1012</v>
      </c>
      <c r="M4" t="s">
        <v>4899</v>
      </c>
      <c r="N4" s="709">
        <v>50772301.759999998</v>
      </c>
      <c r="P4" s="709">
        <v>0</v>
      </c>
      <c r="Q4" s="709">
        <v>50000000</v>
      </c>
      <c r="R4" s="709">
        <v>772301.76</v>
      </c>
      <c r="S4" s="709"/>
    </row>
    <row r="5" spans="1:19">
      <c r="A5">
        <f t="shared" si="0"/>
        <v>1122</v>
      </c>
      <c r="B5" t="str">
        <f t="shared" si="1"/>
        <v xml:space="preserve"> 应收账款</v>
      </c>
      <c r="C5" t="str">
        <f t="shared" si="2"/>
        <v>借</v>
      </c>
      <c r="D5" s="708">
        <f t="shared" si="3"/>
        <v>393142.89</v>
      </c>
      <c r="E5" s="709">
        <f t="shared" si="4"/>
        <v>0</v>
      </c>
      <c r="F5" s="709">
        <f t="shared" si="4"/>
        <v>0</v>
      </c>
      <c r="G5" s="709">
        <f t="shared" si="5"/>
        <v>0</v>
      </c>
      <c r="H5" s="709">
        <f t="shared" si="5"/>
        <v>0</v>
      </c>
      <c r="I5" t="str">
        <f t="shared" si="6"/>
        <v>借</v>
      </c>
      <c r="J5" s="708">
        <f t="shared" si="7"/>
        <v>393142.89</v>
      </c>
      <c r="L5">
        <v>1122</v>
      </c>
      <c r="M5" t="s">
        <v>4900</v>
      </c>
      <c r="N5" s="709">
        <v>393142.89</v>
      </c>
      <c r="P5" s="709">
        <v>0</v>
      </c>
      <c r="Q5" s="709">
        <v>0</v>
      </c>
      <c r="R5" s="709">
        <v>393142.89</v>
      </c>
    </row>
    <row r="6" spans="1:19">
      <c r="A6">
        <f t="shared" si="0"/>
        <v>1221</v>
      </c>
      <c r="B6" t="str">
        <f t="shared" si="1"/>
        <v xml:space="preserve"> 其他应收款</v>
      </c>
      <c r="C6" t="str">
        <f t="shared" si="2"/>
        <v>借</v>
      </c>
      <c r="D6" s="708">
        <f t="shared" si="3"/>
        <v>1267991779.46</v>
      </c>
      <c r="E6" s="709">
        <f t="shared" si="4"/>
        <v>4988687261.3400002</v>
      </c>
      <c r="F6" s="709">
        <f t="shared" si="4"/>
        <v>3375824611.4200001</v>
      </c>
      <c r="G6" s="709">
        <f t="shared" si="5"/>
        <v>4988687261.3400002</v>
      </c>
      <c r="H6" s="709">
        <f t="shared" si="5"/>
        <v>3375824611.4200001</v>
      </c>
      <c r="I6" t="str">
        <f t="shared" si="6"/>
        <v>借</v>
      </c>
      <c r="J6" s="708">
        <f t="shared" si="7"/>
        <v>2880854429.3800001</v>
      </c>
      <c r="L6">
        <v>1221</v>
      </c>
      <c r="M6" t="s">
        <v>4901</v>
      </c>
      <c r="N6" s="709">
        <v>1267991779.46</v>
      </c>
      <c r="P6" s="709">
        <v>4988687261.3400002</v>
      </c>
      <c r="Q6" s="709">
        <v>3375824611.4200001</v>
      </c>
      <c r="R6" s="709">
        <v>2880854429.3800001</v>
      </c>
    </row>
    <row r="7" spans="1:19">
      <c r="A7">
        <f t="shared" si="0"/>
        <v>1231</v>
      </c>
      <c r="B7" t="str">
        <f t="shared" si="1"/>
        <v xml:space="preserve"> 坏帐准备</v>
      </c>
      <c r="C7" t="str">
        <f t="shared" si="2"/>
        <v>贷</v>
      </c>
      <c r="D7" s="708">
        <f t="shared" si="3"/>
        <v>562450.53</v>
      </c>
      <c r="E7" s="709">
        <f t="shared" si="4"/>
        <v>0</v>
      </c>
      <c r="F7" s="709">
        <f t="shared" si="4"/>
        <v>0</v>
      </c>
      <c r="G7" s="709">
        <f t="shared" si="5"/>
        <v>0</v>
      </c>
      <c r="H7" s="709">
        <f t="shared" si="5"/>
        <v>0</v>
      </c>
      <c r="I7" t="str">
        <f t="shared" si="6"/>
        <v>贷</v>
      </c>
      <c r="J7" s="708">
        <f t="shared" si="7"/>
        <v>562450.53</v>
      </c>
      <c r="L7">
        <v>1231</v>
      </c>
      <c r="M7" t="s">
        <v>4902</v>
      </c>
      <c r="O7" s="709">
        <v>562450.53</v>
      </c>
      <c r="P7" s="709">
        <v>0</v>
      </c>
      <c r="Q7" s="709">
        <v>0</v>
      </c>
      <c r="S7" s="709">
        <v>562450.53</v>
      </c>
    </row>
    <row r="8" spans="1:19">
      <c r="A8">
        <f t="shared" si="0"/>
        <v>1503</v>
      </c>
      <c r="B8" t="str">
        <f t="shared" si="1"/>
        <v xml:space="preserve"> 可供出售金融资产</v>
      </c>
      <c r="C8" t="str">
        <f t="shared" si="2"/>
        <v>借</v>
      </c>
      <c r="D8" s="708">
        <f t="shared" si="3"/>
        <v>143935209.19999999</v>
      </c>
      <c r="E8" s="709">
        <f t="shared" si="4"/>
        <v>3240000</v>
      </c>
      <c r="F8" s="709">
        <f t="shared" si="4"/>
        <v>147175209.19999999</v>
      </c>
      <c r="G8" s="709">
        <f t="shared" si="5"/>
        <v>3240000</v>
      </c>
      <c r="H8" s="709">
        <f t="shared" si="5"/>
        <v>147175209.19999999</v>
      </c>
      <c r="I8" t="str">
        <f t="shared" si="6"/>
        <v>贷</v>
      </c>
      <c r="J8" s="708">
        <f t="shared" si="7"/>
        <v>0</v>
      </c>
      <c r="L8">
        <v>1503</v>
      </c>
      <c r="M8" t="s">
        <v>4903</v>
      </c>
      <c r="N8" s="709">
        <v>143935209.19999999</v>
      </c>
      <c r="P8" s="709">
        <v>3240000</v>
      </c>
      <c r="Q8" s="709">
        <v>147175209.19999999</v>
      </c>
      <c r="R8" s="709"/>
    </row>
    <row r="9" spans="1:19">
      <c r="A9">
        <f t="shared" si="0"/>
        <v>1508</v>
      </c>
      <c r="B9" t="str">
        <f t="shared" si="1"/>
        <v xml:space="preserve"> 其他权益工具投资</v>
      </c>
      <c r="C9" t="str">
        <f t="shared" si="2"/>
        <v>贷</v>
      </c>
      <c r="D9" s="708">
        <f t="shared" si="3"/>
        <v>0</v>
      </c>
      <c r="E9" s="709">
        <f t="shared" si="4"/>
        <v>60668185.600000001</v>
      </c>
      <c r="F9" s="709">
        <f t="shared" si="4"/>
        <v>0</v>
      </c>
      <c r="G9" s="709">
        <f t="shared" si="5"/>
        <v>60668185.600000001</v>
      </c>
      <c r="H9" s="709">
        <f t="shared" si="5"/>
        <v>0</v>
      </c>
      <c r="I9" t="str">
        <f t="shared" si="6"/>
        <v>借</v>
      </c>
      <c r="J9" s="708">
        <f t="shared" si="7"/>
        <v>60668185.600000001</v>
      </c>
      <c r="L9">
        <v>1508</v>
      </c>
      <c r="M9" t="s">
        <v>4904</v>
      </c>
      <c r="N9" s="709"/>
      <c r="P9" s="709">
        <v>60668185.600000001</v>
      </c>
      <c r="Q9" s="709">
        <v>0</v>
      </c>
      <c r="R9" s="709">
        <v>60668185.600000001</v>
      </c>
    </row>
    <row r="10" spans="1:19">
      <c r="A10">
        <f t="shared" si="0"/>
        <v>1509</v>
      </c>
      <c r="B10" t="str">
        <f t="shared" si="1"/>
        <v xml:space="preserve"> 其他非流动金融资产</v>
      </c>
      <c r="C10" t="str">
        <f t="shared" si="2"/>
        <v>贷</v>
      </c>
      <c r="D10" s="708">
        <f t="shared" si="3"/>
        <v>0</v>
      </c>
      <c r="E10" s="709">
        <f t="shared" si="4"/>
        <v>86507023.599999994</v>
      </c>
      <c r="F10" s="709">
        <f t="shared" si="4"/>
        <v>53439400</v>
      </c>
      <c r="G10" s="709">
        <f t="shared" si="5"/>
        <v>86507023.599999994</v>
      </c>
      <c r="H10" s="709">
        <f t="shared" si="5"/>
        <v>53439400</v>
      </c>
      <c r="I10" t="str">
        <f t="shared" si="6"/>
        <v>借</v>
      </c>
      <c r="J10" s="708">
        <f t="shared" si="7"/>
        <v>33067623.600000001</v>
      </c>
      <c r="L10">
        <v>1509</v>
      </c>
      <c r="M10" t="s">
        <v>4905</v>
      </c>
      <c r="N10" s="709"/>
      <c r="O10" s="709"/>
      <c r="P10" s="709">
        <v>86507023.599999994</v>
      </c>
      <c r="Q10" s="709">
        <v>53439400</v>
      </c>
      <c r="R10" s="709">
        <v>33067623.600000001</v>
      </c>
      <c r="S10" s="709"/>
    </row>
    <row r="11" spans="1:19">
      <c r="A11">
        <f t="shared" si="0"/>
        <v>1511</v>
      </c>
      <c r="B11" t="str">
        <f t="shared" si="1"/>
        <v xml:space="preserve"> 长期股权投资</v>
      </c>
      <c r="C11" t="str">
        <f t="shared" si="2"/>
        <v>借</v>
      </c>
      <c r="D11" s="708">
        <f t="shared" si="3"/>
        <v>833432545.78999996</v>
      </c>
      <c r="E11" s="709">
        <f t="shared" si="4"/>
        <v>76595358.219999999</v>
      </c>
      <c r="F11" s="709">
        <f t="shared" si="4"/>
        <v>45266778.090000004</v>
      </c>
      <c r="G11" s="709">
        <f t="shared" si="5"/>
        <v>76595358.219999999</v>
      </c>
      <c r="H11" s="709">
        <f t="shared" si="5"/>
        <v>45266778.090000004</v>
      </c>
      <c r="I11" t="str">
        <f t="shared" si="6"/>
        <v>借</v>
      </c>
      <c r="J11" s="708">
        <f t="shared" si="7"/>
        <v>864761125.91999996</v>
      </c>
      <c r="L11">
        <v>1511</v>
      </c>
      <c r="M11" t="s">
        <v>4906</v>
      </c>
      <c r="N11" s="709">
        <v>833432545.78999996</v>
      </c>
      <c r="O11" s="709"/>
      <c r="P11" s="709">
        <v>76595358.219999999</v>
      </c>
      <c r="Q11" s="709">
        <v>45266778.090000004</v>
      </c>
      <c r="R11" s="709">
        <v>864761125.91999996</v>
      </c>
      <c r="S11" s="709"/>
    </row>
    <row r="12" spans="1:19">
      <c r="A12">
        <f t="shared" si="0"/>
        <v>1521</v>
      </c>
      <c r="B12" t="str">
        <f t="shared" si="1"/>
        <v xml:space="preserve"> 投资性房地产</v>
      </c>
      <c r="C12" t="str">
        <f t="shared" si="2"/>
        <v>借</v>
      </c>
      <c r="D12" s="708">
        <f t="shared" si="3"/>
        <v>837690312.32000005</v>
      </c>
      <c r="E12" s="709">
        <f t="shared" si="4"/>
        <v>84572004.599999994</v>
      </c>
      <c r="F12" s="709">
        <f t="shared" si="4"/>
        <v>121293217.95</v>
      </c>
      <c r="G12" s="709">
        <f t="shared" si="5"/>
        <v>84572004.599999994</v>
      </c>
      <c r="H12" s="709">
        <f t="shared" si="5"/>
        <v>121293217.95</v>
      </c>
      <c r="I12" t="str">
        <f t="shared" si="6"/>
        <v>借</v>
      </c>
      <c r="J12" s="708">
        <f t="shared" si="7"/>
        <v>800969098.97000003</v>
      </c>
      <c r="L12">
        <v>1521</v>
      </c>
      <c r="M12" t="s">
        <v>4907</v>
      </c>
      <c r="N12" s="709">
        <v>837690312.32000005</v>
      </c>
      <c r="O12" s="709"/>
      <c r="P12" s="709">
        <v>84572004.599999994</v>
      </c>
      <c r="Q12" s="709">
        <v>121293217.95</v>
      </c>
      <c r="R12" s="709">
        <v>800969098.97000003</v>
      </c>
      <c r="S12" s="709"/>
    </row>
    <row r="13" spans="1:19">
      <c r="A13">
        <f t="shared" si="0"/>
        <v>1522</v>
      </c>
      <c r="B13" t="str">
        <f t="shared" si="1"/>
        <v xml:space="preserve"> 投资性房地产累计折旧（摊销）</v>
      </c>
      <c r="C13" t="str">
        <f t="shared" si="2"/>
        <v>贷</v>
      </c>
      <c r="D13" s="708">
        <f t="shared" si="3"/>
        <v>85158694.719999999</v>
      </c>
      <c r="E13" s="709">
        <f t="shared" si="4"/>
        <v>15363079.85</v>
      </c>
      <c r="F13" s="709">
        <f t="shared" si="4"/>
        <v>39537643.090000004</v>
      </c>
      <c r="G13" s="709">
        <f t="shared" si="5"/>
        <v>15363079.85</v>
      </c>
      <c r="H13" s="709">
        <f t="shared" si="5"/>
        <v>39537643.090000004</v>
      </c>
      <c r="I13" t="str">
        <f t="shared" si="6"/>
        <v>贷</v>
      </c>
      <c r="J13" s="708">
        <f t="shared" si="7"/>
        <v>109333257.95999999</v>
      </c>
      <c r="L13">
        <v>1522</v>
      </c>
      <c r="M13" t="s">
        <v>4908</v>
      </c>
      <c r="N13" s="709"/>
      <c r="O13" s="709">
        <v>85158694.719999999</v>
      </c>
      <c r="P13" s="709">
        <v>15363079.85</v>
      </c>
      <c r="Q13" s="709">
        <v>39537643.090000004</v>
      </c>
      <c r="R13" s="709"/>
      <c r="S13" s="709">
        <v>109333257.95999999</v>
      </c>
    </row>
    <row r="14" spans="1:19">
      <c r="A14">
        <f t="shared" si="0"/>
        <v>1601</v>
      </c>
      <c r="B14" t="str">
        <f t="shared" si="1"/>
        <v xml:space="preserve"> 固定资产</v>
      </c>
      <c r="C14" t="str">
        <f t="shared" si="2"/>
        <v>借</v>
      </c>
      <c r="D14" s="708">
        <f t="shared" si="3"/>
        <v>3069164432.5900002</v>
      </c>
      <c r="E14" s="709">
        <f t="shared" si="4"/>
        <v>899354.14</v>
      </c>
      <c r="F14" s="709">
        <f t="shared" si="4"/>
        <v>609295.56000000006</v>
      </c>
      <c r="G14" s="709">
        <f t="shared" si="5"/>
        <v>899354.14</v>
      </c>
      <c r="H14" s="709">
        <f t="shared" si="5"/>
        <v>609295.56000000006</v>
      </c>
      <c r="I14" t="str">
        <f t="shared" si="6"/>
        <v>借</v>
      </c>
      <c r="J14" s="708">
        <f t="shared" si="7"/>
        <v>3069454491.1700001</v>
      </c>
      <c r="L14">
        <v>1601</v>
      </c>
      <c r="M14" t="s">
        <v>4909</v>
      </c>
      <c r="N14" s="709">
        <v>3069164432.5900002</v>
      </c>
      <c r="O14" s="709"/>
      <c r="P14" s="709">
        <v>899354.14</v>
      </c>
      <c r="Q14" s="709">
        <v>609295.56000000006</v>
      </c>
      <c r="R14" s="709">
        <v>3069454491.1700001</v>
      </c>
      <c r="S14" s="709"/>
    </row>
    <row r="15" spans="1:19">
      <c r="A15">
        <f t="shared" si="0"/>
        <v>1602</v>
      </c>
      <c r="B15" t="str">
        <f t="shared" si="1"/>
        <v xml:space="preserve"> 累计折旧</v>
      </c>
      <c r="C15" t="str">
        <f t="shared" si="2"/>
        <v>贷</v>
      </c>
      <c r="D15" s="708">
        <f t="shared" si="3"/>
        <v>133479072.84</v>
      </c>
      <c r="E15" s="709">
        <f t="shared" si="4"/>
        <v>21554.68</v>
      </c>
      <c r="F15" s="709">
        <f t="shared" si="4"/>
        <v>11347198.83</v>
      </c>
      <c r="G15" s="709">
        <f t="shared" si="5"/>
        <v>21554.68</v>
      </c>
      <c r="H15" s="709">
        <f t="shared" si="5"/>
        <v>11347198.83</v>
      </c>
      <c r="I15" t="str">
        <f t="shared" si="6"/>
        <v>贷</v>
      </c>
      <c r="J15" s="708">
        <f t="shared" si="7"/>
        <v>144804716.99000001</v>
      </c>
      <c r="L15">
        <v>1602</v>
      </c>
      <c r="M15" t="s">
        <v>4910</v>
      </c>
      <c r="N15" s="709"/>
      <c r="O15" s="709">
        <v>133479072.84</v>
      </c>
      <c r="P15" s="709">
        <v>21554.68</v>
      </c>
      <c r="Q15" s="709">
        <v>11347198.83</v>
      </c>
      <c r="R15" s="709"/>
      <c r="S15" s="709">
        <v>144804716.99000001</v>
      </c>
    </row>
    <row r="16" spans="1:19">
      <c r="A16">
        <f t="shared" si="0"/>
        <v>1604</v>
      </c>
      <c r="B16" t="str">
        <f t="shared" si="1"/>
        <v xml:space="preserve"> 在建工程</v>
      </c>
      <c r="C16" t="str">
        <f t="shared" si="2"/>
        <v>借</v>
      </c>
      <c r="D16" s="708">
        <f t="shared" si="3"/>
        <v>33326998357.049999</v>
      </c>
      <c r="E16" s="709">
        <f t="shared" si="4"/>
        <v>-2491235809.0500002</v>
      </c>
      <c r="F16" s="709">
        <f t="shared" si="4"/>
        <v>806443442.38999999</v>
      </c>
      <c r="G16" s="709">
        <f t="shared" si="5"/>
        <v>-2491235809.0500002</v>
      </c>
      <c r="H16" s="709">
        <f t="shared" si="5"/>
        <v>806443442.38999999</v>
      </c>
      <c r="I16" t="str">
        <f t="shared" si="6"/>
        <v>借</v>
      </c>
      <c r="J16" s="708">
        <f t="shared" si="7"/>
        <v>30029319105.610001</v>
      </c>
      <c r="L16">
        <v>1604</v>
      </c>
      <c r="M16" t="s">
        <v>4599</v>
      </c>
      <c r="N16" s="709">
        <v>33326998357.049999</v>
      </c>
      <c r="O16" s="709"/>
      <c r="P16" s="709">
        <v>-2491235809.0500002</v>
      </c>
      <c r="Q16" s="709">
        <v>806443442.38999999</v>
      </c>
      <c r="R16" s="709">
        <v>30029319105.610001</v>
      </c>
      <c r="S16" s="709"/>
    </row>
    <row r="17" spans="1:19">
      <c r="A17">
        <f t="shared" si="0"/>
        <v>1606</v>
      </c>
      <c r="B17" t="str">
        <f t="shared" si="1"/>
        <v xml:space="preserve"> 固定资产清理</v>
      </c>
      <c r="C17" t="str">
        <f t="shared" si="2"/>
        <v>借</v>
      </c>
      <c r="D17" s="708">
        <f t="shared" si="3"/>
        <v>89849436.530000001</v>
      </c>
      <c r="E17" s="709">
        <f t="shared" si="4"/>
        <v>106517878.98</v>
      </c>
      <c r="F17" s="709">
        <f t="shared" si="4"/>
        <v>106517878.98</v>
      </c>
      <c r="G17" s="709">
        <f t="shared" si="5"/>
        <v>106517878.98</v>
      </c>
      <c r="H17" s="709">
        <f t="shared" si="5"/>
        <v>106517878.98</v>
      </c>
      <c r="I17" t="str">
        <f t="shared" si="6"/>
        <v>借</v>
      </c>
      <c r="J17" s="708">
        <f t="shared" si="7"/>
        <v>89849436.530000001</v>
      </c>
      <c r="L17">
        <v>1606</v>
      </c>
      <c r="M17" t="s">
        <v>4911</v>
      </c>
      <c r="N17" s="709">
        <v>89849436.530000001</v>
      </c>
      <c r="O17" s="709"/>
      <c r="P17" s="709">
        <v>106517878.98</v>
      </c>
      <c r="Q17" s="709">
        <v>106517878.98</v>
      </c>
      <c r="R17" s="709">
        <v>89849436.530000001</v>
      </c>
      <c r="S17" s="709"/>
    </row>
    <row r="18" spans="1:19">
      <c r="A18">
        <f t="shared" si="0"/>
        <v>1701</v>
      </c>
      <c r="B18" t="str">
        <f t="shared" si="1"/>
        <v xml:space="preserve"> 无形资产</v>
      </c>
      <c r="C18" t="str">
        <f t="shared" si="2"/>
        <v>借</v>
      </c>
      <c r="D18" s="708">
        <f t="shared" si="3"/>
        <v>111344.14</v>
      </c>
      <c r="E18" s="709">
        <f t="shared" si="4"/>
        <v>193000</v>
      </c>
      <c r="F18" s="709">
        <f t="shared" si="4"/>
        <v>0</v>
      </c>
      <c r="G18" s="709">
        <f t="shared" si="5"/>
        <v>193000</v>
      </c>
      <c r="H18" s="709">
        <f t="shared" si="5"/>
        <v>0</v>
      </c>
      <c r="I18" t="str">
        <f t="shared" si="6"/>
        <v>借</v>
      </c>
      <c r="J18" s="708">
        <f t="shared" si="7"/>
        <v>304344.14</v>
      </c>
      <c r="L18">
        <v>1701</v>
      </c>
      <c r="M18" t="s">
        <v>4912</v>
      </c>
      <c r="N18" s="709">
        <v>111344.14</v>
      </c>
      <c r="O18" s="709"/>
      <c r="P18" s="709">
        <v>193000</v>
      </c>
      <c r="Q18" s="709">
        <v>0</v>
      </c>
      <c r="R18" s="709">
        <v>304344.14</v>
      </c>
      <c r="S18" s="709"/>
    </row>
    <row r="19" spans="1:19">
      <c r="A19">
        <f t="shared" si="0"/>
        <v>1702</v>
      </c>
      <c r="B19" t="str">
        <f t="shared" si="1"/>
        <v xml:space="preserve"> 累计摊销</v>
      </c>
      <c r="C19" t="str">
        <f t="shared" si="2"/>
        <v>贷</v>
      </c>
      <c r="D19" s="708">
        <f t="shared" si="3"/>
        <v>23743.4</v>
      </c>
      <c r="E19" s="709">
        <f t="shared" si="4"/>
        <v>0</v>
      </c>
      <c r="F19" s="709">
        <f t="shared" si="4"/>
        <v>17197.39</v>
      </c>
      <c r="G19" s="709">
        <f t="shared" si="5"/>
        <v>0</v>
      </c>
      <c r="H19" s="709">
        <f t="shared" si="5"/>
        <v>17197.39</v>
      </c>
      <c r="I19" t="str">
        <f t="shared" si="6"/>
        <v>贷</v>
      </c>
      <c r="J19" s="708">
        <f t="shared" si="7"/>
        <v>40940.79</v>
      </c>
      <c r="L19">
        <v>1702</v>
      </c>
      <c r="M19" t="s">
        <v>4913</v>
      </c>
      <c r="O19" s="709">
        <v>23743.4</v>
      </c>
      <c r="P19" s="709">
        <v>0</v>
      </c>
      <c r="Q19" s="709">
        <v>17197.39</v>
      </c>
      <c r="S19" s="709">
        <v>40940.79</v>
      </c>
    </row>
    <row r="20" spans="1:19">
      <c r="A20">
        <f t="shared" si="0"/>
        <v>1801</v>
      </c>
      <c r="B20" t="str">
        <f t="shared" si="1"/>
        <v xml:space="preserve"> 长期待摊费用</v>
      </c>
      <c r="C20" t="str">
        <f t="shared" si="2"/>
        <v>借</v>
      </c>
      <c r="D20" s="708">
        <f t="shared" si="3"/>
        <v>592295.39</v>
      </c>
      <c r="E20" s="709">
        <f t="shared" si="4"/>
        <v>0</v>
      </c>
      <c r="F20" s="709">
        <f t="shared" si="4"/>
        <v>271468.67</v>
      </c>
      <c r="G20" s="709">
        <f t="shared" si="5"/>
        <v>0</v>
      </c>
      <c r="H20" s="709">
        <f t="shared" si="5"/>
        <v>271468.67</v>
      </c>
      <c r="I20" t="str">
        <f t="shared" si="6"/>
        <v>借</v>
      </c>
      <c r="J20" s="708">
        <f t="shared" si="7"/>
        <v>320826.71999999997</v>
      </c>
      <c r="L20">
        <v>1801</v>
      </c>
      <c r="M20" t="s">
        <v>4914</v>
      </c>
      <c r="N20" s="709">
        <v>592295.39</v>
      </c>
      <c r="O20" s="709"/>
      <c r="P20" s="709">
        <v>0</v>
      </c>
      <c r="Q20" s="709">
        <v>271468.67</v>
      </c>
      <c r="R20" s="709">
        <v>320826.71999999997</v>
      </c>
      <c r="S20" s="709"/>
    </row>
    <row r="21" spans="1:19">
      <c r="A21">
        <f t="shared" si="0"/>
        <v>1811</v>
      </c>
      <c r="B21" t="str">
        <f t="shared" si="1"/>
        <v xml:space="preserve"> 递延所得税资产</v>
      </c>
      <c r="C21" t="str">
        <f t="shared" si="2"/>
        <v>借</v>
      </c>
      <c r="D21" s="708">
        <f t="shared" si="3"/>
        <v>42326.91</v>
      </c>
      <c r="E21" s="709">
        <f t="shared" si="4"/>
        <v>0</v>
      </c>
      <c r="F21" s="709">
        <f t="shared" si="4"/>
        <v>0</v>
      </c>
      <c r="G21" s="709">
        <f t="shared" si="5"/>
        <v>0</v>
      </c>
      <c r="H21" s="709">
        <f t="shared" si="5"/>
        <v>0</v>
      </c>
      <c r="I21" t="str">
        <f t="shared" si="6"/>
        <v>借</v>
      </c>
      <c r="J21" s="708">
        <f t="shared" si="7"/>
        <v>42326.91</v>
      </c>
      <c r="L21">
        <v>1811</v>
      </c>
      <c r="M21" t="s">
        <v>4915</v>
      </c>
      <c r="N21" s="709">
        <v>42326.91</v>
      </c>
      <c r="O21" s="709"/>
      <c r="P21" s="709">
        <v>0</v>
      </c>
      <c r="Q21" s="709">
        <v>0</v>
      </c>
      <c r="R21" s="709">
        <v>42326.91</v>
      </c>
      <c r="S21" s="709"/>
    </row>
    <row r="22" spans="1:19">
      <c r="A22">
        <f t="shared" si="0"/>
        <v>1902</v>
      </c>
      <c r="B22" t="str">
        <f t="shared" si="1"/>
        <v xml:space="preserve"> 其他非流动资产</v>
      </c>
      <c r="C22" t="str">
        <f t="shared" si="2"/>
        <v>借</v>
      </c>
      <c r="D22" s="708">
        <f t="shared" si="3"/>
        <v>50112420.340000004</v>
      </c>
      <c r="E22" s="709">
        <f t="shared" si="4"/>
        <v>0</v>
      </c>
      <c r="F22" s="709">
        <f t="shared" si="4"/>
        <v>0</v>
      </c>
      <c r="G22" s="709">
        <f t="shared" si="5"/>
        <v>0</v>
      </c>
      <c r="H22" s="709">
        <f t="shared" si="5"/>
        <v>0</v>
      </c>
      <c r="I22" t="str">
        <f t="shared" si="6"/>
        <v>借</v>
      </c>
      <c r="J22" s="708">
        <f t="shared" si="7"/>
        <v>50112420.340000004</v>
      </c>
      <c r="L22">
        <v>1902</v>
      </c>
      <c r="M22" t="s">
        <v>4916</v>
      </c>
      <c r="N22" s="709">
        <v>50112420.340000004</v>
      </c>
      <c r="O22" s="709"/>
      <c r="P22" s="709">
        <v>0</v>
      </c>
      <c r="Q22" s="709">
        <v>0</v>
      </c>
      <c r="R22" s="709">
        <v>50112420.340000004</v>
      </c>
      <c r="S22" s="709"/>
    </row>
    <row r="23" spans="1:19">
      <c r="A23">
        <f t="shared" si="0"/>
        <v>2001</v>
      </c>
      <c r="B23" t="str">
        <f t="shared" si="1"/>
        <v xml:space="preserve"> 短期借款</v>
      </c>
      <c r="C23" t="str">
        <f t="shared" si="2"/>
        <v>贷</v>
      </c>
      <c r="D23" s="708">
        <f t="shared" si="3"/>
        <v>1930000000</v>
      </c>
      <c r="E23" s="709">
        <f t="shared" si="4"/>
        <v>2050000000</v>
      </c>
      <c r="F23" s="709">
        <f t="shared" si="4"/>
        <v>1120000000</v>
      </c>
      <c r="G23" s="709">
        <f t="shared" si="5"/>
        <v>2050000000</v>
      </c>
      <c r="H23" s="709">
        <f t="shared" si="5"/>
        <v>1120000000</v>
      </c>
      <c r="I23" t="str">
        <f t="shared" si="6"/>
        <v>贷</v>
      </c>
      <c r="J23" s="708">
        <f t="shared" si="7"/>
        <v>1000000000</v>
      </c>
      <c r="L23">
        <v>2001</v>
      </c>
      <c r="M23" t="s">
        <v>4917</v>
      </c>
      <c r="O23" s="709">
        <v>1930000000</v>
      </c>
      <c r="P23" s="709">
        <v>2050000000</v>
      </c>
      <c r="Q23" s="709">
        <v>1120000000</v>
      </c>
      <c r="S23" s="709">
        <v>1000000000</v>
      </c>
    </row>
    <row r="24" spans="1:19">
      <c r="A24">
        <f t="shared" si="0"/>
        <v>2202</v>
      </c>
      <c r="B24" t="str">
        <f t="shared" si="1"/>
        <v xml:space="preserve"> 应付账款</v>
      </c>
      <c r="C24" t="str">
        <f t="shared" si="2"/>
        <v>贷</v>
      </c>
      <c r="D24" s="708">
        <f t="shared" si="3"/>
        <v>3883357.5</v>
      </c>
      <c r="E24" s="709">
        <f t="shared" si="4"/>
        <v>3861268</v>
      </c>
      <c r="F24" s="709">
        <f t="shared" si="4"/>
        <v>0</v>
      </c>
      <c r="G24" s="709">
        <f t="shared" si="5"/>
        <v>3861268</v>
      </c>
      <c r="H24" s="709">
        <f t="shared" si="5"/>
        <v>0</v>
      </c>
      <c r="I24" t="str">
        <f t="shared" si="6"/>
        <v>贷</v>
      </c>
      <c r="J24" s="708">
        <f t="shared" si="7"/>
        <v>22089.5</v>
      </c>
      <c r="L24">
        <v>2202</v>
      </c>
      <c r="M24" t="s">
        <v>4918</v>
      </c>
      <c r="O24" s="709">
        <v>3883357.5</v>
      </c>
      <c r="P24" s="709">
        <v>3861268</v>
      </c>
      <c r="Q24" s="709">
        <v>0</v>
      </c>
      <c r="S24" s="709">
        <v>22089.5</v>
      </c>
    </row>
    <row r="25" spans="1:19">
      <c r="A25">
        <f t="shared" si="0"/>
        <v>2211</v>
      </c>
      <c r="B25" t="str">
        <f t="shared" si="1"/>
        <v xml:space="preserve"> 应付职工薪酬</v>
      </c>
      <c r="C25" t="str">
        <f t="shared" si="2"/>
        <v>贷</v>
      </c>
      <c r="D25" s="708">
        <f t="shared" si="3"/>
        <v>7380131.7699999996</v>
      </c>
      <c r="E25" s="709">
        <f t="shared" si="4"/>
        <v>18995111.859999999</v>
      </c>
      <c r="F25" s="709">
        <f t="shared" si="4"/>
        <v>14274877.359999999</v>
      </c>
      <c r="G25" s="709">
        <f t="shared" si="5"/>
        <v>18995111.859999999</v>
      </c>
      <c r="H25" s="709">
        <f t="shared" si="5"/>
        <v>14274877.359999999</v>
      </c>
      <c r="I25" t="str">
        <f t="shared" si="6"/>
        <v>贷</v>
      </c>
      <c r="J25" s="708">
        <f t="shared" si="7"/>
        <v>2659897.27</v>
      </c>
      <c r="L25">
        <v>2211</v>
      </c>
      <c r="M25" t="s">
        <v>4919</v>
      </c>
      <c r="O25" s="709">
        <v>7380131.7699999996</v>
      </c>
      <c r="P25" s="709">
        <v>18995111.859999999</v>
      </c>
      <c r="Q25" s="709">
        <v>14274877.359999999</v>
      </c>
      <c r="S25" s="709">
        <v>2659897.27</v>
      </c>
    </row>
    <row r="26" spans="1:19">
      <c r="A26">
        <f t="shared" si="0"/>
        <v>2221</v>
      </c>
      <c r="B26" t="str">
        <f t="shared" si="1"/>
        <v xml:space="preserve"> 应交税费</v>
      </c>
      <c r="C26" t="str">
        <f t="shared" si="2"/>
        <v>借</v>
      </c>
      <c r="D26" s="708">
        <f t="shared" si="3"/>
        <v>426366334.70999998</v>
      </c>
      <c r="E26" s="709">
        <f t="shared" si="4"/>
        <v>503251251.82999998</v>
      </c>
      <c r="F26" s="709">
        <f t="shared" si="4"/>
        <v>449590258.08999997</v>
      </c>
      <c r="G26" s="709">
        <f t="shared" si="5"/>
        <v>503251251.82999998</v>
      </c>
      <c r="H26" s="709">
        <f t="shared" si="5"/>
        <v>449590258.08999997</v>
      </c>
      <c r="I26" t="str">
        <f t="shared" si="6"/>
        <v>借</v>
      </c>
      <c r="J26" s="708">
        <f t="shared" si="7"/>
        <v>480027328.44999999</v>
      </c>
      <c r="L26">
        <v>2221</v>
      </c>
      <c r="M26" t="s">
        <v>4920</v>
      </c>
      <c r="N26" s="709">
        <v>426366334.70999998</v>
      </c>
      <c r="O26" s="709"/>
      <c r="P26" s="709">
        <v>503251251.82999998</v>
      </c>
      <c r="Q26" s="709">
        <v>449590258.08999997</v>
      </c>
      <c r="R26" s="709">
        <v>480027328.44999999</v>
      </c>
      <c r="S26" s="709"/>
    </row>
    <row r="27" spans="1:19">
      <c r="A27">
        <f t="shared" si="0"/>
        <v>2231</v>
      </c>
      <c r="B27" t="str">
        <f t="shared" si="1"/>
        <v xml:space="preserve"> 应付利息</v>
      </c>
      <c r="C27" t="str">
        <f t="shared" si="2"/>
        <v>贷</v>
      </c>
      <c r="D27" s="708">
        <f t="shared" si="3"/>
        <v>1901766150.1700001</v>
      </c>
      <c r="E27" s="709">
        <f t="shared" si="4"/>
        <v>661769160.09000003</v>
      </c>
      <c r="F27" s="709">
        <f t="shared" si="4"/>
        <v>1214602846.26</v>
      </c>
      <c r="G27" s="709">
        <f t="shared" si="5"/>
        <v>661769160.09000003</v>
      </c>
      <c r="H27" s="709">
        <f t="shared" si="5"/>
        <v>1214602846.26</v>
      </c>
      <c r="I27" t="str">
        <f t="shared" si="6"/>
        <v>贷</v>
      </c>
      <c r="J27" s="708">
        <f t="shared" si="7"/>
        <v>2454599836.3400002</v>
      </c>
      <c r="L27">
        <v>2231</v>
      </c>
      <c r="M27" t="s">
        <v>4921</v>
      </c>
      <c r="O27" s="709">
        <v>1901766150.1700001</v>
      </c>
      <c r="P27" s="709">
        <v>661769160.09000003</v>
      </c>
      <c r="Q27" s="709">
        <v>1214602846.26</v>
      </c>
      <c r="S27" s="709">
        <v>2454599836.3400002</v>
      </c>
    </row>
    <row r="28" spans="1:19">
      <c r="A28">
        <f t="shared" si="0"/>
        <v>2241</v>
      </c>
      <c r="B28" t="str">
        <f t="shared" si="1"/>
        <v xml:space="preserve"> 其他应付款</v>
      </c>
      <c r="C28" t="str">
        <f t="shared" si="2"/>
        <v>贷</v>
      </c>
      <c r="D28" s="708">
        <f t="shared" si="3"/>
        <v>14263329305.219999</v>
      </c>
      <c r="E28" s="709">
        <f t="shared" si="4"/>
        <v>17812608060.330002</v>
      </c>
      <c r="F28" s="709">
        <f t="shared" si="4"/>
        <v>14033158293.27</v>
      </c>
      <c r="G28" s="709">
        <f t="shared" si="5"/>
        <v>17812608060.330002</v>
      </c>
      <c r="H28" s="709">
        <f t="shared" si="5"/>
        <v>14033158293.27</v>
      </c>
      <c r="I28" t="str">
        <f t="shared" si="6"/>
        <v>贷</v>
      </c>
      <c r="J28" s="708">
        <f t="shared" si="7"/>
        <v>10483879538.16</v>
      </c>
      <c r="L28">
        <v>2241</v>
      </c>
      <c r="M28" t="s">
        <v>4922</v>
      </c>
      <c r="O28" s="709">
        <v>14263329305.219999</v>
      </c>
      <c r="P28" s="709">
        <v>17812608060.330002</v>
      </c>
      <c r="Q28" s="709">
        <v>14033158293.27</v>
      </c>
      <c r="S28" s="709">
        <v>10483879538.16</v>
      </c>
    </row>
    <row r="29" spans="1:19">
      <c r="A29">
        <f t="shared" si="0"/>
        <v>2401</v>
      </c>
      <c r="B29" t="str">
        <f t="shared" si="1"/>
        <v xml:space="preserve"> 递延收益</v>
      </c>
      <c r="C29" t="str">
        <f t="shared" si="2"/>
        <v>贷</v>
      </c>
      <c r="D29" s="708">
        <f t="shared" si="3"/>
        <v>2420928002.0799999</v>
      </c>
      <c r="E29" s="709">
        <f t="shared" si="4"/>
        <v>635000000</v>
      </c>
      <c r="F29" s="709">
        <f t="shared" si="4"/>
        <v>1282985390.96</v>
      </c>
      <c r="G29" s="709">
        <f t="shared" si="5"/>
        <v>635000000</v>
      </c>
      <c r="H29" s="709">
        <f t="shared" si="5"/>
        <v>1282985390.96</v>
      </c>
      <c r="I29" t="str">
        <f t="shared" si="6"/>
        <v>贷</v>
      </c>
      <c r="J29" s="708">
        <f t="shared" si="7"/>
        <v>3068913393.04</v>
      </c>
      <c r="L29">
        <v>2401</v>
      </c>
      <c r="M29" t="s">
        <v>4923</v>
      </c>
      <c r="O29" s="709">
        <v>2420928002.0799999</v>
      </c>
      <c r="P29" s="709">
        <v>635000000</v>
      </c>
      <c r="Q29" s="709">
        <v>1282985390.96</v>
      </c>
      <c r="S29" s="709">
        <v>3068913393.04</v>
      </c>
    </row>
    <row r="30" spans="1:19">
      <c r="A30">
        <f t="shared" si="0"/>
        <v>2501</v>
      </c>
      <c r="B30" t="str">
        <f t="shared" si="1"/>
        <v xml:space="preserve"> 长期借款</v>
      </c>
      <c r="C30" t="str">
        <f t="shared" si="2"/>
        <v>贷</v>
      </c>
      <c r="D30" s="708">
        <f t="shared" si="3"/>
        <v>7618500000</v>
      </c>
      <c r="E30" s="709">
        <f t="shared" si="4"/>
        <v>1852500000</v>
      </c>
      <c r="F30" s="709">
        <f t="shared" si="4"/>
        <v>1800000000</v>
      </c>
      <c r="G30" s="709">
        <f t="shared" si="5"/>
        <v>1852500000</v>
      </c>
      <c r="H30" s="709">
        <f t="shared" si="5"/>
        <v>1800000000</v>
      </c>
      <c r="I30" t="str">
        <f t="shared" si="6"/>
        <v>贷</v>
      </c>
      <c r="J30" s="708">
        <f t="shared" si="7"/>
        <v>7566000000</v>
      </c>
      <c r="L30">
        <v>2501</v>
      </c>
      <c r="M30" t="s">
        <v>4924</v>
      </c>
      <c r="O30" s="709">
        <v>7618500000</v>
      </c>
      <c r="P30" s="709">
        <v>1852500000</v>
      </c>
      <c r="Q30" s="709">
        <v>1800000000</v>
      </c>
      <c r="S30" s="709">
        <v>7566000000</v>
      </c>
    </row>
    <row r="31" spans="1:19">
      <c r="A31">
        <f t="shared" si="0"/>
        <v>2502</v>
      </c>
      <c r="B31" t="str">
        <f t="shared" si="1"/>
        <v xml:space="preserve"> 应付债券</v>
      </c>
      <c r="C31" t="str">
        <f t="shared" si="2"/>
        <v>贷</v>
      </c>
      <c r="D31" s="708">
        <f t="shared" si="3"/>
        <v>4067295888.8400002</v>
      </c>
      <c r="E31" s="709">
        <f t="shared" si="4"/>
        <v>471950084.05000001</v>
      </c>
      <c r="F31" s="709">
        <f t="shared" si="4"/>
        <v>2607240201.3400002</v>
      </c>
      <c r="G31" s="709">
        <f t="shared" si="5"/>
        <v>471950084.05000001</v>
      </c>
      <c r="H31" s="709">
        <f t="shared" si="5"/>
        <v>2607240201.3400002</v>
      </c>
      <c r="I31" t="str">
        <f t="shared" si="6"/>
        <v>贷</v>
      </c>
      <c r="J31" s="708">
        <f t="shared" si="7"/>
        <v>6202586006.1300001</v>
      </c>
      <c r="L31">
        <v>2502</v>
      </c>
      <c r="M31" t="s">
        <v>4925</v>
      </c>
      <c r="O31" s="709">
        <v>4067295888.8400002</v>
      </c>
      <c r="P31" s="709">
        <v>471950084.05000001</v>
      </c>
      <c r="Q31" s="709">
        <v>2607240201.3400002</v>
      </c>
      <c r="S31" s="709">
        <v>6202586006.1300001</v>
      </c>
    </row>
    <row r="32" spans="1:19">
      <c r="A32">
        <f t="shared" si="0"/>
        <v>2701</v>
      </c>
      <c r="B32" t="str">
        <f t="shared" si="1"/>
        <v xml:space="preserve"> 长期应付款</v>
      </c>
      <c r="C32" t="str">
        <f t="shared" si="2"/>
        <v>贷</v>
      </c>
      <c r="D32" s="708">
        <f t="shared" si="3"/>
        <v>1124555214.72</v>
      </c>
      <c r="E32" s="709">
        <f t="shared" si="4"/>
        <v>625155214.72000003</v>
      </c>
      <c r="F32" s="709">
        <f t="shared" si="4"/>
        <v>0</v>
      </c>
      <c r="G32" s="709">
        <f t="shared" si="5"/>
        <v>625155214.72000003</v>
      </c>
      <c r="H32" s="709">
        <f t="shared" si="5"/>
        <v>0</v>
      </c>
      <c r="I32" t="str">
        <f t="shared" si="6"/>
        <v>贷</v>
      </c>
      <c r="J32" s="708">
        <f t="shared" si="7"/>
        <v>499400000</v>
      </c>
      <c r="L32">
        <v>2701</v>
      </c>
      <c r="M32" t="s">
        <v>4926</v>
      </c>
      <c r="O32" s="709">
        <v>1124555214.72</v>
      </c>
      <c r="P32" s="709">
        <v>625155214.72000003</v>
      </c>
      <c r="Q32" s="709">
        <v>0</v>
      </c>
      <c r="S32" s="709">
        <v>499400000</v>
      </c>
    </row>
    <row r="33" spans="1:19">
      <c r="A33">
        <f t="shared" si="0"/>
        <v>2901</v>
      </c>
      <c r="B33" t="str">
        <f t="shared" si="1"/>
        <v xml:space="preserve"> 递延所得税负债</v>
      </c>
      <c r="C33" t="str">
        <f t="shared" si="2"/>
        <v>贷</v>
      </c>
      <c r="D33" s="708">
        <f t="shared" si="3"/>
        <v>14966140.26</v>
      </c>
      <c r="E33" s="709">
        <f t="shared" si="4"/>
        <v>0</v>
      </c>
      <c r="F33" s="709">
        <f t="shared" si="4"/>
        <v>0</v>
      </c>
      <c r="G33" s="709">
        <f t="shared" si="5"/>
        <v>0</v>
      </c>
      <c r="H33" s="709">
        <f t="shared" si="5"/>
        <v>0</v>
      </c>
      <c r="I33" t="str">
        <f t="shared" si="6"/>
        <v>贷</v>
      </c>
      <c r="J33" s="708">
        <f t="shared" si="7"/>
        <v>14966140.26</v>
      </c>
      <c r="L33">
        <v>2901</v>
      </c>
      <c r="M33" t="s">
        <v>4927</v>
      </c>
      <c r="O33" s="709">
        <v>14966140.26</v>
      </c>
      <c r="P33">
        <v>0</v>
      </c>
      <c r="Q33" s="709">
        <v>0</v>
      </c>
      <c r="S33" s="709">
        <v>14966140.26</v>
      </c>
    </row>
    <row r="34" spans="1:19">
      <c r="A34">
        <f t="shared" si="0"/>
        <v>4001</v>
      </c>
      <c r="B34" t="str">
        <f t="shared" si="1"/>
        <v xml:space="preserve"> 实收资本（股本）</v>
      </c>
      <c r="C34" t="str">
        <f t="shared" si="2"/>
        <v>贷</v>
      </c>
      <c r="D34" s="708">
        <f t="shared" si="3"/>
        <v>521000000</v>
      </c>
      <c r="E34" s="709">
        <f t="shared" si="4"/>
        <v>0</v>
      </c>
      <c r="F34" s="709">
        <f t="shared" si="4"/>
        <v>52992553.579999998</v>
      </c>
      <c r="G34" s="709">
        <f t="shared" si="5"/>
        <v>0</v>
      </c>
      <c r="H34" s="709">
        <f t="shared" si="5"/>
        <v>52992553.579999998</v>
      </c>
      <c r="I34" t="str">
        <f t="shared" si="6"/>
        <v>贷</v>
      </c>
      <c r="J34" s="708">
        <f t="shared" si="7"/>
        <v>573992553.58000004</v>
      </c>
      <c r="L34">
        <v>4001</v>
      </c>
      <c r="M34" t="s">
        <v>4928</v>
      </c>
      <c r="N34" s="709"/>
      <c r="O34" s="709">
        <v>521000000</v>
      </c>
      <c r="P34" s="709">
        <v>0</v>
      </c>
      <c r="Q34" s="709">
        <v>52992553.579999998</v>
      </c>
      <c r="R34" s="709"/>
      <c r="S34" s="709">
        <v>573992553.58000004</v>
      </c>
    </row>
    <row r="35" spans="1:19">
      <c r="A35">
        <f t="shared" si="0"/>
        <v>4002</v>
      </c>
      <c r="B35" t="str">
        <f t="shared" si="1"/>
        <v xml:space="preserve"> 资本公积</v>
      </c>
      <c r="C35" t="str">
        <f t="shared" si="2"/>
        <v>贷</v>
      </c>
      <c r="D35" s="708">
        <f t="shared" si="3"/>
        <v>9278053106.4200001</v>
      </c>
      <c r="E35" s="709">
        <f t="shared" si="4"/>
        <v>54019940.229999997</v>
      </c>
      <c r="F35" s="709">
        <f t="shared" si="4"/>
        <v>947007446.41999996</v>
      </c>
      <c r="G35" s="709">
        <f t="shared" si="5"/>
        <v>54019940.229999997</v>
      </c>
      <c r="H35" s="709">
        <f t="shared" si="5"/>
        <v>947007446.41999996</v>
      </c>
      <c r="I35" t="str">
        <f t="shared" si="6"/>
        <v>贷</v>
      </c>
      <c r="J35" s="708">
        <f t="shared" si="7"/>
        <v>10171040612.610001</v>
      </c>
      <c r="L35">
        <v>4002</v>
      </c>
      <c r="M35" t="s">
        <v>4929</v>
      </c>
      <c r="O35" s="709">
        <v>9278053106.4200001</v>
      </c>
      <c r="P35" s="709">
        <v>54019940.229999997</v>
      </c>
      <c r="Q35" s="709">
        <v>947007446.41999996</v>
      </c>
      <c r="S35" s="709">
        <v>10171040612.610001</v>
      </c>
    </row>
    <row r="36" spans="1:19">
      <c r="A36">
        <f t="shared" si="0"/>
        <v>4101</v>
      </c>
      <c r="B36" t="str">
        <f t="shared" si="1"/>
        <v xml:space="preserve"> 盈余公积</v>
      </c>
      <c r="C36" t="str">
        <f t="shared" si="2"/>
        <v>贷</v>
      </c>
      <c r="D36" s="708">
        <f t="shared" si="3"/>
        <v>137132399.31999999</v>
      </c>
      <c r="E36" s="709">
        <f t="shared" si="4"/>
        <v>0</v>
      </c>
      <c r="F36" s="709">
        <f t="shared" si="4"/>
        <v>0</v>
      </c>
      <c r="G36" s="709">
        <f t="shared" si="5"/>
        <v>0</v>
      </c>
      <c r="H36" s="709">
        <f t="shared" si="5"/>
        <v>0</v>
      </c>
      <c r="I36" t="str">
        <f t="shared" si="6"/>
        <v>贷</v>
      </c>
      <c r="J36" s="708">
        <f t="shared" si="7"/>
        <v>137132399.31999999</v>
      </c>
      <c r="L36">
        <v>4101</v>
      </c>
      <c r="M36" t="s">
        <v>4930</v>
      </c>
      <c r="O36" s="709">
        <v>137132399.31999999</v>
      </c>
      <c r="P36" s="709">
        <v>0</v>
      </c>
      <c r="Q36" s="709">
        <v>0</v>
      </c>
      <c r="S36" s="709">
        <v>137132399.31999999</v>
      </c>
    </row>
    <row r="37" spans="1:19">
      <c r="A37">
        <f t="shared" si="0"/>
        <v>4103</v>
      </c>
      <c r="B37" t="str">
        <f t="shared" si="1"/>
        <v xml:space="preserve"> 本年利润</v>
      </c>
      <c r="C37" t="str">
        <f t="shared" si="2"/>
        <v>贷</v>
      </c>
      <c r="D37" s="708">
        <f t="shared" si="3"/>
        <v>0</v>
      </c>
      <c r="E37" s="709">
        <f t="shared" si="4"/>
        <v>0</v>
      </c>
      <c r="F37" s="709">
        <f t="shared" si="4"/>
        <v>357754753.31999999</v>
      </c>
      <c r="G37" s="709">
        <f t="shared" si="5"/>
        <v>0</v>
      </c>
      <c r="H37" s="709">
        <f t="shared" si="5"/>
        <v>357754753.31999999</v>
      </c>
      <c r="I37" t="str">
        <f t="shared" si="6"/>
        <v>贷</v>
      </c>
      <c r="J37" s="708">
        <f t="shared" si="7"/>
        <v>357754753.31999999</v>
      </c>
      <c r="L37">
        <v>4103</v>
      </c>
      <c r="M37" t="s">
        <v>4931</v>
      </c>
      <c r="P37" s="709">
        <v>0</v>
      </c>
      <c r="Q37" s="709">
        <v>357754753.31999999</v>
      </c>
      <c r="S37" s="709">
        <v>357754753.31999999</v>
      </c>
    </row>
    <row r="38" spans="1:19">
      <c r="A38">
        <f t="shared" si="0"/>
        <v>4104</v>
      </c>
      <c r="B38" t="str">
        <f t="shared" si="1"/>
        <v xml:space="preserve"> 利润分配</v>
      </c>
      <c r="C38" t="str">
        <f t="shared" si="2"/>
        <v>贷</v>
      </c>
      <c r="D38" s="708">
        <f t="shared" si="3"/>
        <v>1183117260.1700001</v>
      </c>
      <c r="E38" s="709">
        <f t="shared" si="4"/>
        <v>25959582.77</v>
      </c>
      <c r="F38" s="709">
        <f t="shared" si="4"/>
        <v>0</v>
      </c>
      <c r="G38" s="709">
        <f t="shared" si="5"/>
        <v>25959582.77</v>
      </c>
      <c r="H38" s="709">
        <f t="shared" si="5"/>
        <v>0</v>
      </c>
      <c r="I38" t="str">
        <f t="shared" si="6"/>
        <v>贷</v>
      </c>
      <c r="J38" s="708">
        <f t="shared" si="7"/>
        <v>1157157677.4000001</v>
      </c>
      <c r="L38">
        <v>4104</v>
      </c>
      <c r="M38" t="s">
        <v>4932</v>
      </c>
      <c r="O38" s="709">
        <v>1183117260.1700001</v>
      </c>
      <c r="P38" s="709">
        <v>25959582.77</v>
      </c>
      <c r="Q38" s="709">
        <v>0</v>
      </c>
      <c r="S38" s="709">
        <v>1157157677.4000001</v>
      </c>
    </row>
    <row r="39" spans="1:19">
      <c r="A39">
        <f t="shared" si="0"/>
        <v>4259</v>
      </c>
      <c r="B39" t="str">
        <f t="shared" si="1"/>
        <v xml:space="preserve"> 原其他综合收益</v>
      </c>
      <c r="C39" t="str">
        <f t="shared" si="2"/>
        <v>贷</v>
      </c>
      <c r="D39" s="708">
        <f t="shared" si="3"/>
        <v>44898420.770000003</v>
      </c>
      <c r="E39" s="709">
        <f t="shared" si="4"/>
        <v>0</v>
      </c>
      <c r="F39" s="709">
        <f t="shared" si="4"/>
        <v>0</v>
      </c>
      <c r="G39" s="709">
        <f t="shared" si="5"/>
        <v>0</v>
      </c>
      <c r="H39" s="709">
        <f t="shared" si="5"/>
        <v>0</v>
      </c>
      <c r="I39" t="str">
        <f t="shared" si="6"/>
        <v>贷</v>
      </c>
      <c r="J39" s="708">
        <f t="shared" si="7"/>
        <v>44898420.770000003</v>
      </c>
      <c r="L39">
        <v>4259</v>
      </c>
      <c r="M39" t="s">
        <v>4933</v>
      </c>
      <c r="O39" s="709">
        <v>44898420.770000003</v>
      </c>
      <c r="P39" s="709">
        <v>0</v>
      </c>
      <c r="Q39" s="709">
        <v>0</v>
      </c>
      <c r="S39" s="709">
        <v>44898420.770000003</v>
      </c>
    </row>
    <row r="40" spans="1:19">
      <c r="A40">
        <f t="shared" si="0"/>
        <v>5002</v>
      </c>
      <c r="B40" t="str">
        <f t="shared" si="1"/>
        <v xml:space="preserve"> 开发成本</v>
      </c>
      <c r="C40" t="str">
        <f t="shared" si="2"/>
        <v>借</v>
      </c>
      <c r="D40" s="708">
        <f t="shared" si="3"/>
        <v>3974228075.52</v>
      </c>
      <c r="E40" s="709">
        <f t="shared" si="4"/>
        <v>0</v>
      </c>
      <c r="F40" s="709">
        <f t="shared" si="4"/>
        <v>0</v>
      </c>
      <c r="G40" s="709">
        <f t="shared" si="5"/>
        <v>0</v>
      </c>
      <c r="H40" s="709">
        <f t="shared" si="5"/>
        <v>0</v>
      </c>
      <c r="I40" t="str">
        <f t="shared" si="6"/>
        <v>借</v>
      </c>
      <c r="J40" s="708">
        <f t="shared" si="7"/>
        <v>3974228075.52</v>
      </c>
      <c r="L40">
        <v>5002</v>
      </c>
      <c r="M40" t="s">
        <v>4934</v>
      </c>
      <c r="N40" s="709">
        <v>3974228075.52</v>
      </c>
      <c r="P40" s="709">
        <v>0</v>
      </c>
      <c r="Q40" s="709">
        <v>0</v>
      </c>
      <c r="R40" s="709">
        <v>3974228075.52</v>
      </c>
    </row>
    <row r="41" spans="1:19">
      <c r="A41">
        <f t="shared" si="0"/>
        <v>6001</v>
      </c>
      <c r="B41" t="str">
        <f t="shared" si="1"/>
        <v xml:space="preserve"> 主营业务收入</v>
      </c>
      <c r="C41" t="str">
        <f t="shared" si="2"/>
        <v>贷</v>
      </c>
      <c r="D41" s="708">
        <f t="shared" si="3"/>
        <v>0</v>
      </c>
      <c r="E41" s="709">
        <f t="shared" si="4"/>
        <v>604954409.74000001</v>
      </c>
      <c r="F41" s="709">
        <f t="shared" si="4"/>
        <v>604954409.74000001</v>
      </c>
      <c r="G41" s="709">
        <f t="shared" si="5"/>
        <v>604954409.74000001</v>
      </c>
      <c r="H41" s="709">
        <f t="shared" si="5"/>
        <v>604954409.74000001</v>
      </c>
      <c r="I41" t="str">
        <f t="shared" si="6"/>
        <v>贷</v>
      </c>
      <c r="J41" s="708">
        <f t="shared" si="7"/>
        <v>0</v>
      </c>
      <c r="L41">
        <v>6001</v>
      </c>
      <c r="M41" t="s">
        <v>4935</v>
      </c>
      <c r="P41" s="709">
        <v>604954409.74000001</v>
      </c>
      <c r="Q41" s="709">
        <v>604954409.74000001</v>
      </c>
    </row>
    <row r="42" spans="1:19">
      <c r="A42">
        <f t="shared" si="0"/>
        <v>6051</v>
      </c>
      <c r="B42" t="str">
        <f t="shared" si="1"/>
        <v xml:space="preserve"> 其他业务收入</v>
      </c>
      <c r="C42" t="str">
        <f t="shared" si="2"/>
        <v>贷</v>
      </c>
      <c r="D42" s="708">
        <f t="shared" si="3"/>
        <v>0</v>
      </c>
      <c r="E42" s="709">
        <f t="shared" si="4"/>
        <v>5955411.6100000003</v>
      </c>
      <c r="F42" s="709">
        <f t="shared" si="4"/>
        <v>5955411.6100000003</v>
      </c>
      <c r="G42" s="709">
        <f t="shared" si="5"/>
        <v>5955411.6100000003</v>
      </c>
      <c r="H42" s="709">
        <f t="shared" si="5"/>
        <v>5955411.6100000003</v>
      </c>
      <c r="I42" t="str">
        <f t="shared" si="6"/>
        <v>贷</v>
      </c>
      <c r="J42" s="708">
        <f t="shared" si="7"/>
        <v>0</v>
      </c>
      <c r="L42">
        <v>6051</v>
      </c>
      <c r="M42" t="s">
        <v>4936</v>
      </c>
      <c r="P42" s="709">
        <v>5955411.6100000003</v>
      </c>
      <c r="Q42" s="709">
        <v>5955411.6100000003</v>
      </c>
    </row>
    <row r="43" spans="1:19">
      <c r="A43">
        <f t="shared" si="0"/>
        <v>6111</v>
      </c>
      <c r="B43" t="str">
        <f t="shared" si="1"/>
        <v xml:space="preserve"> 投资收益</v>
      </c>
      <c r="C43" t="str">
        <f t="shared" si="2"/>
        <v>贷</v>
      </c>
      <c r="D43" s="708">
        <f t="shared" si="3"/>
        <v>0</v>
      </c>
      <c r="E43" s="709">
        <f t="shared" si="4"/>
        <v>11027254.35</v>
      </c>
      <c r="F43" s="709">
        <f t="shared" si="4"/>
        <v>11027254.35</v>
      </c>
      <c r="G43" s="709">
        <f t="shared" si="5"/>
        <v>11027254.35</v>
      </c>
      <c r="H43" s="709">
        <f t="shared" si="5"/>
        <v>11027254.35</v>
      </c>
      <c r="I43" t="str">
        <f t="shared" si="6"/>
        <v>贷</v>
      </c>
      <c r="J43" s="708">
        <f t="shared" si="7"/>
        <v>0</v>
      </c>
      <c r="L43">
        <v>6111</v>
      </c>
      <c r="M43" t="s">
        <v>4937</v>
      </c>
      <c r="P43" s="709">
        <v>11027254.35</v>
      </c>
      <c r="Q43" s="709">
        <v>11027254.35</v>
      </c>
    </row>
    <row r="44" spans="1:19">
      <c r="A44">
        <f t="shared" si="0"/>
        <v>6112</v>
      </c>
      <c r="B44" t="str">
        <f t="shared" si="1"/>
        <v xml:space="preserve"> 其他收益</v>
      </c>
      <c r="C44" t="str">
        <f t="shared" si="2"/>
        <v>贷</v>
      </c>
      <c r="D44" s="708">
        <f t="shared" si="3"/>
        <v>0</v>
      </c>
      <c r="E44" s="709">
        <f t="shared" ref="E44:F50" si="8">P44</f>
        <v>262000000</v>
      </c>
      <c r="F44" s="709">
        <f t="shared" si="8"/>
        <v>262000000</v>
      </c>
      <c r="G44" s="709">
        <f t="shared" ref="G44:H50" si="9">E44</f>
        <v>262000000</v>
      </c>
      <c r="H44" s="709">
        <f t="shared" si="9"/>
        <v>262000000</v>
      </c>
      <c r="I44" t="str">
        <f t="shared" si="6"/>
        <v>贷</v>
      </c>
      <c r="J44" s="708">
        <f t="shared" si="7"/>
        <v>0</v>
      </c>
      <c r="L44">
        <v>6112</v>
      </c>
      <c r="M44" t="s">
        <v>4938</v>
      </c>
      <c r="P44" s="709">
        <v>262000000</v>
      </c>
      <c r="Q44" s="709">
        <v>262000000</v>
      </c>
    </row>
    <row r="45" spans="1:19">
      <c r="A45">
        <f t="shared" si="0"/>
        <v>6301</v>
      </c>
      <c r="B45" t="str">
        <f t="shared" si="1"/>
        <v xml:space="preserve"> 营业外收入</v>
      </c>
      <c r="C45" t="str">
        <f t="shared" si="2"/>
        <v>贷</v>
      </c>
      <c r="D45" s="708">
        <f t="shared" si="3"/>
        <v>0</v>
      </c>
      <c r="E45" s="709">
        <f t="shared" si="8"/>
        <v>130709339.08</v>
      </c>
      <c r="F45" s="709">
        <f t="shared" si="8"/>
        <v>130809413.08</v>
      </c>
      <c r="G45" s="709">
        <f t="shared" si="9"/>
        <v>130709339.08</v>
      </c>
      <c r="H45" s="709">
        <f t="shared" si="9"/>
        <v>130809413.08</v>
      </c>
      <c r="I45" t="str">
        <f t="shared" si="6"/>
        <v>贷</v>
      </c>
      <c r="J45" s="708">
        <f t="shared" si="7"/>
        <v>100074</v>
      </c>
      <c r="L45">
        <v>6301</v>
      </c>
      <c r="M45" t="s">
        <v>4939</v>
      </c>
      <c r="P45" s="709">
        <v>130709339.08</v>
      </c>
      <c r="Q45" s="709">
        <v>130809413.08</v>
      </c>
      <c r="S45" s="709">
        <v>100074</v>
      </c>
    </row>
    <row r="46" spans="1:19">
      <c r="A46">
        <f t="shared" si="0"/>
        <v>6401</v>
      </c>
      <c r="B46" t="str">
        <f t="shared" si="1"/>
        <v xml:space="preserve"> 主营业务成本</v>
      </c>
      <c r="C46" t="str">
        <f t="shared" si="2"/>
        <v>贷</v>
      </c>
      <c r="D46" s="708">
        <f t="shared" si="3"/>
        <v>0</v>
      </c>
      <c r="E46" s="709">
        <f t="shared" si="8"/>
        <v>619131612.25999999</v>
      </c>
      <c r="F46" s="709">
        <f t="shared" si="8"/>
        <v>619106870.92999995</v>
      </c>
      <c r="G46" s="709">
        <f t="shared" si="9"/>
        <v>619131612.25999999</v>
      </c>
      <c r="H46" s="709">
        <f t="shared" si="9"/>
        <v>619106870.92999995</v>
      </c>
      <c r="I46" t="str">
        <f t="shared" si="6"/>
        <v>借</v>
      </c>
      <c r="J46" s="708">
        <f t="shared" si="7"/>
        <v>24741.33</v>
      </c>
      <c r="L46">
        <v>6401</v>
      </c>
      <c r="M46" t="s">
        <v>4940</v>
      </c>
      <c r="P46" s="709">
        <v>619131612.25999999</v>
      </c>
      <c r="Q46" s="709">
        <v>619106870.92999995</v>
      </c>
      <c r="R46" s="709">
        <v>24741.33</v>
      </c>
    </row>
    <row r="47" spans="1:19">
      <c r="A47">
        <f t="shared" si="0"/>
        <v>6403</v>
      </c>
      <c r="B47" t="str">
        <f t="shared" si="1"/>
        <v xml:space="preserve"> 税金及附加</v>
      </c>
      <c r="C47" t="str">
        <f t="shared" si="2"/>
        <v>贷</v>
      </c>
      <c r="D47" s="708">
        <f t="shared" si="3"/>
        <v>0</v>
      </c>
      <c r="E47" s="709">
        <f t="shared" si="8"/>
        <v>5261042.63</v>
      </c>
      <c r="F47" s="709">
        <f t="shared" si="8"/>
        <v>5261042.63</v>
      </c>
      <c r="G47" s="709">
        <f t="shared" si="9"/>
        <v>5261042.63</v>
      </c>
      <c r="H47" s="709">
        <f t="shared" si="9"/>
        <v>5261042.63</v>
      </c>
      <c r="I47" t="str">
        <f t="shared" si="6"/>
        <v>贷</v>
      </c>
      <c r="J47" s="708">
        <f t="shared" si="7"/>
        <v>0</v>
      </c>
      <c r="L47">
        <v>6403</v>
      </c>
      <c r="M47" t="s">
        <v>4941</v>
      </c>
      <c r="P47" s="709">
        <v>5261042.63</v>
      </c>
      <c r="Q47" s="709">
        <v>5261042.63</v>
      </c>
    </row>
    <row r="48" spans="1:19">
      <c r="A48">
        <f t="shared" si="0"/>
        <v>6602</v>
      </c>
      <c r="B48" t="str">
        <f t="shared" si="1"/>
        <v xml:space="preserve"> 管理费用</v>
      </c>
      <c r="C48" t="str">
        <f t="shared" si="2"/>
        <v>贷</v>
      </c>
      <c r="D48" s="708">
        <f t="shared" si="3"/>
        <v>0</v>
      </c>
      <c r="E48" s="709">
        <f t="shared" si="8"/>
        <v>31793303.210000001</v>
      </c>
      <c r="F48" s="709">
        <f t="shared" si="8"/>
        <v>31561499.359999999</v>
      </c>
      <c r="G48" s="709">
        <f t="shared" si="9"/>
        <v>31793303.210000001</v>
      </c>
      <c r="H48" s="709">
        <f t="shared" si="9"/>
        <v>31561499.359999999</v>
      </c>
      <c r="I48" t="str">
        <f t="shared" si="6"/>
        <v>借</v>
      </c>
      <c r="J48" s="708">
        <f t="shared" si="7"/>
        <v>231803.85</v>
      </c>
      <c r="L48">
        <v>6602</v>
      </c>
      <c r="M48" t="s">
        <v>4942</v>
      </c>
      <c r="P48" s="709">
        <v>31793303.210000001</v>
      </c>
      <c r="Q48" s="709">
        <v>31561499.359999999</v>
      </c>
      <c r="R48" s="709">
        <v>231803.85</v>
      </c>
    </row>
    <row r="49" spans="1:19">
      <c r="A49">
        <f t="shared" si="0"/>
        <v>6603</v>
      </c>
      <c r="B49" t="str">
        <f t="shared" si="1"/>
        <v xml:space="preserve"> 财务费用</v>
      </c>
      <c r="C49" t="str">
        <f t="shared" si="2"/>
        <v>贷</v>
      </c>
      <c r="D49" s="708">
        <f t="shared" si="3"/>
        <v>0</v>
      </c>
      <c r="E49" s="709">
        <f t="shared" si="8"/>
        <v>-52641.3</v>
      </c>
      <c r="F49" s="709">
        <f t="shared" si="8"/>
        <v>-52551.15</v>
      </c>
      <c r="G49" s="709">
        <f t="shared" si="9"/>
        <v>-52641.3</v>
      </c>
      <c r="H49" s="709">
        <f t="shared" si="9"/>
        <v>-52551.15</v>
      </c>
      <c r="I49" t="str">
        <f t="shared" si="6"/>
        <v>贷</v>
      </c>
      <c r="J49" s="708">
        <f t="shared" si="7"/>
        <v>90.15</v>
      </c>
      <c r="L49">
        <v>6603</v>
      </c>
      <c r="M49" t="s">
        <v>4943</v>
      </c>
      <c r="P49" s="709">
        <v>-52641.3</v>
      </c>
      <c r="Q49" s="709">
        <v>-52551.15</v>
      </c>
      <c r="S49">
        <v>90.15</v>
      </c>
    </row>
    <row r="50" spans="1:19">
      <c r="A50">
        <f t="shared" si="0"/>
        <v>6711</v>
      </c>
      <c r="B50" t="str">
        <f t="shared" si="1"/>
        <v xml:space="preserve"> 营业外支出</v>
      </c>
      <c r="C50" t="str">
        <f t="shared" si="2"/>
        <v>贷</v>
      </c>
      <c r="D50" s="708">
        <f t="shared" si="3"/>
        <v>0</v>
      </c>
      <c r="E50" s="709">
        <f t="shared" si="8"/>
        <v>1014799.7</v>
      </c>
      <c r="F50" s="709">
        <f t="shared" si="8"/>
        <v>1014799.7</v>
      </c>
      <c r="G50" s="709">
        <f t="shared" si="9"/>
        <v>1014799.7</v>
      </c>
      <c r="H50" s="709">
        <f t="shared" si="9"/>
        <v>1014799.7</v>
      </c>
      <c r="I50" t="str">
        <f t="shared" si="6"/>
        <v>贷</v>
      </c>
      <c r="J50" s="708">
        <f t="shared" si="7"/>
        <v>0</v>
      </c>
      <c r="L50">
        <v>6711</v>
      </c>
      <c r="M50" t="s">
        <v>4944</v>
      </c>
      <c r="P50" s="709">
        <v>1014799.7</v>
      </c>
      <c r="Q50" s="709">
        <v>1014799.7</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sheetPr codeName="Sheet29">
    <tabColor rgb="FF00B0F0"/>
  </sheetPr>
  <dimension ref="A1:I11"/>
  <sheetViews>
    <sheetView workbookViewId="0">
      <selection activeCell="B11" sqref="B11"/>
    </sheetView>
  </sheetViews>
  <sheetFormatPr defaultRowHeight="13.8"/>
  <cols>
    <col min="1" max="1" width="39.109375" bestFit="1" customWidth="1"/>
    <col min="2" max="2" width="23.88671875" style="229" bestFit="1" customWidth="1"/>
    <col min="3" max="3" width="20.44140625" bestFit="1" customWidth="1"/>
    <col min="4" max="4" width="22.6640625" bestFit="1" customWidth="1"/>
    <col min="5" max="6" width="20.44140625" bestFit="1" customWidth="1"/>
  </cols>
  <sheetData>
    <row r="1" spans="1:9">
      <c r="A1" t="s">
        <v>95</v>
      </c>
      <c r="B1" s="229" t="s">
        <v>2478</v>
      </c>
    </row>
    <row r="2" spans="1:9">
      <c r="A2" t="s">
        <v>2840</v>
      </c>
      <c r="B2" s="229">
        <f>将净利润调节为经营活动现金流量!B16</f>
        <v>0</v>
      </c>
    </row>
    <row r="3" spans="1:9">
      <c r="A3" t="s">
        <v>2841</v>
      </c>
      <c r="B3" s="229">
        <f>将净利润调节为经营活动现金流量!B17</f>
        <v>0</v>
      </c>
    </row>
    <row r="4" spans="1:9">
      <c r="A4" t="s">
        <v>2839</v>
      </c>
      <c r="B4" s="229">
        <f>VLOOKUP("递延所得税费用",所得税费用!A:B,2,0)</f>
        <v>0</v>
      </c>
    </row>
    <row r="5" spans="1:9">
      <c r="A5" t="s">
        <v>2351</v>
      </c>
      <c r="B5" s="229">
        <f>SUM(B2:B3)-B4</f>
        <v>0</v>
      </c>
    </row>
    <row r="7" spans="1:9">
      <c r="A7" t="s">
        <v>95</v>
      </c>
      <c r="B7" s="229" t="s">
        <v>3065</v>
      </c>
      <c r="C7" t="s">
        <v>3067</v>
      </c>
      <c r="D7" t="s">
        <v>3066</v>
      </c>
      <c r="E7" t="s">
        <v>3068</v>
      </c>
      <c r="F7" t="s">
        <v>3070</v>
      </c>
      <c r="G7" t="s">
        <v>3071</v>
      </c>
      <c r="H7" t="s">
        <v>2534</v>
      </c>
      <c r="I7" t="s">
        <v>2535</v>
      </c>
    </row>
    <row r="8" spans="1:9">
      <c r="A8" t="s">
        <v>1638</v>
      </c>
      <c r="B8" s="229">
        <f>未经抵销的递延所得税资产!B53</f>
        <v>0</v>
      </c>
      <c r="C8" s="229">
        <f>未经抵销的递延所得税资产!C53</f>
        <v>0</v>
      </c>
      <c r="D8" s="229">
        <f>未经抵销的递延所得税资产!D53</f>
        <v>0</v>
      </c>
      <c r="E8" s="229">
        <f>未经抵销的递延所得税资产!E53</f>
        <v>0</v>
      </c>
      <c r="F8" s="230">
        <f>SUM(可抵扣暂时性差异明细表!T:T)</f>
        <v>0</v>
      </c>
      <c r="G8" s="230">
        <f>SUM(可抵扣暂时性差异明细表!S:S)</f>
        <v>0</v>
      </c>
      <c r="H8" s="414">
        <f>F8-C8</f>
        <v>0</v>
      </c>
      <c r="I8" s="414">
        <f>G8-E8</f>
        <v>0</v>
      </c>
    </row>
    <row r="9" spans="1:9">
      <c r="A9" t="s">
        <v>1639</v>
      </c>
      <c r="B9" s="229">
        <f>未经抵销的递延所得税负债!B25</f>
        <v>0</v>
      </c>
      <c r="C9" s="229">
        <f>未经抵销的递延所得税负债!C25</f>
        <v>0</v>
      </c>
      <c r="D9" s="229">
        <f>未经抵销的递延所得税负债!D25</f>
        <v>0</v>
      </c>
      <c r="E9" s="229">
        <f>未经抵销的递延所得税负债!E25</f>
        <v>0</v>
      </c>
      <c r="F9" s="230">
        <f>SUM(应纳税暂时性差异明细表!Q:Q)</f>
        <v>0</v>
      </c>
      <c r="G9" s="230">
        <f>SUM(应纳税暂时性差异明细表!S:S)</f>
        <v>0</v>
      </c>
      <c r="H9" s="414">
        <f>F9-C9</f>
        <v>0</v>
      </c>
      <c r="I9" s="414">
        <f>G9-E9</f>
        <v>0</v>
      </c>
    </row>
    <row r="10" spans="1:9">
      <c r="A10" t="s">
        <v>3069</v>
      </c>
      <c r="B10" s="229">
        <f>SUM(可抵扣暂时性差异明细表!Q:Q)+SUM(应纳税暂时性差异明细表!Q:Q)</f>
        <v>0</v>
      </c>
      <c r="D10" s="230">
        <f>SUM(可抵扣暂时性差异明细表!D:D)+SUM(应纳税暂时性差异明细表!D:D)</f>
        <v>0</v>
      </c>
    </row>
    <row r="11" spans="1:9">
      <c r="A11" t="s">
        <v>2351</v>
      </c>
      <c r="B11" s="412">
        <f>B8-B9-B10</f>
        <v>0</v>
      </c>
      <c r="D11" s="414">
        <f>D8-D9-D10</f>
        <v>0</v>
      </c>
    </row>
  </sheetData>
  <phoneticPr fontId="1"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codeName="Sheet314">
    <tabColor rgb="FFFFC000"/>
  </sheetPr>
  <dimension ref="A1:E7"/>
  <sheetViews>
    <sheetView workbookViewId="0">
      <selection activeCell="A5" sqref="A5"/>
    </sheetView>
  </sheetViews>
  <sheetFormatPr defaultRowHeight="13.8"/>
  <cols>
    <col min="1" max="1" width="42.88671875" style="18" customWidth="1"/>
    <col min="2" max="16384" width="8.88671875" style="18"/>
  </cols>
  <sheetData>
    <row r="1" spans="1:5" ht="28.8">
      <c r="A1" s="32" t="s">
        <v>28</v>
      </c>
      <c r="B1" s="32" t="s">
        <v>641</v>
      </c>
      <c r="C1" s="32" t="s">
        <v>642</v>
      </c>
      <c r="D1" s="32" t="s">
        <v>643</v>
      </c>
      <c r="E1" s="32" t="s">
        <v>644</v>
      </c>
    </row>
    <row r="2" spans="1:5" ht="14.4">
      <c r="A2" s="345" t="s">
        <v>4173</v>
      </c>
      <c r="B2" s="298">
        <f>ROUND(SUMIF(主营业务明细表!$F:$F,B$1&amp;$A2,主营业务明细表!$E:$E),2)</f>
        <v>0</v>
      </c>
      <c r="C2" s="298">
        <f>ROUND(SUMIF(主营业务明细表!$F:$F,C$1&amp;$A2,主营业务明细表!$E:$E),2)</f>
        <v>0</v>
      </c>
      <c r="D2" s="298">
        <f>ROUND(SUMIF(主营业务明细表!$F:$F,D$1&amp;$A2,主营业务明细表!$E:$E),2)</f>
        <v>0</v>
      </c>
      <c r="E2" s="298">
        <f>ROUND(SUMIF(主营业务明细表!$F:$F,E$1&amp;$A2,主营业务明细表!$E:$E),2)</f>
        <v>0</v>
      </c>
    </row>
    <row r="3" spans="1:5" ht="14.4">
      <c r="A3" s="345" t="s">
        <v>2817</v>
      </c>
      <c r="B3" s="298">
        <f>ROUND(SUMIF(主营业务明细表!$F:$F,B$1&amp;$A3,主营业务明细表!$E:$E),2)</f>
        <v>0</v>
      </c>
      <c r="C3" s="298">
        <f>ROUND(SUMIF(主营业务明细表!$F:$F,C$1&amp;$A3,主营业务明细表!$E:$E),2)</f>
        <v>0</v>
      </c>
      <c r="D3" s="298">
        <f>ROUND(SUMIF(主营业务明细表!$F:$F,D$1&amp;$A3,主营业务明细表!$E:$E),2)</f>
        <v>0</v>
      </c>
      <c r="E3" s="298">
        <f>ROUND(SUMIF(主营业务明细表!$F:$F,E$1&amp;$A3,主营业务明细表!$E:$E),2)</f>
        <v>0</v>
      </c>
    </row>
    <row r="4" spans="1:5" ht="14.4">
      <c r="A4" s="345" t="s">
        <v>2818</v>
      </c>
      <c r="B4" s="298">
        <f>ROUND(SUMIF(主营业务明细表!$F:$F,B$1&amp;$A4,主营业务明细表!$E:$E),2)</f>
        <v>0</v>
      </c>
      <c r="C4" s="298">
        <f>ROUND(SUMIF(主营业务明细表!$F:$F,C$1&amp;$A4,主营业务明细表!$E:$E),2)</f>
        <v>0</v>
      </c>
      <c r="D4" s="298">
        <f>ROUND(SUMIF(主营业务明细表!$F:$F,D$1&amp;$A4,主营业务明细表!$E:$E),2)</f>
        <v>0</v>
      </c>
      <c r="E4" s="298">
        <f>ROUND(SUMIF(主营业务明细表!$F:$F,E$1&amp;$A4,主营业务明细表!$E:$E),2)</f>
        <v>0</v>
      </c>
    </row>
    <row r="5" spans="1:5" ht="14.4">
      <c r="A5" s="345" t="s">
        <v>2291</v>
      </c>
      <c r="B5" s="298">
        <f>ROUND(SUMIF(主营业务明细表!$F:$F,B$1&amp;$A5,主营业务明细表!$E:$E),2)</f>
        <v>0</v>
      </c>
      <c r="C5" s="298">
        <f>ROUND(SUMIF(主营业务明细表!$F:$F,C$1&amp;$A5,主营业务明细表!$E:$E),2)</f>
        <v>0</v>
      </c>
      <c r="D5" s="298">
        <f>ROUND(SUMIF(主营业务明细表!$F:$F,D$1&amp;$A5,主营业务明细表!$E:$E),2)</f>
        <v>0</v>
      </c>
      <c r="E5" s="298">
        <f>ROUND(SUMIF(主营业务明细表!$F:$F,E$1&amp;$A5,主营业务明细表!$E:$E),2)</f>
        <v>0</v>
      </c>
    </row>
    <row r="6" spans="1:5" ht="14.4">
      <c r="A6" s="345" t="s">
        <v>2819</v>
      </c>
      <c r="B6" s="298">
        <f>ROUND(SUMIF(主营业务明细表!$F:$F,B$1&amp;$A6,主营业务明细表!$E:$E),2)</f>
        <v>0</v>
      </c>
      <c r="C6" s="298">
        <f>ROUND(SUMIF(主营业务明细表!$F:$F,C$1&amp;$A6,主营业务明细表!$E:$E),2)</f>
        <v>0</v>
      </c>
      <c r="D6" s="298">
        <f>ROUND(SUMIF(主营业务明细表!$F:$F,D$1&amp;$A6,主营业务明细表!$E:$E),2)</f>
        <v>0</v>
      </c>
      <c r="E6" s="298">
        <f>ROUND(SUMIF(主营业务明细表!$F:$F,E$1&amp;$A6,主营业务明细表!$E:$E),2)</f>
        <v>0</v>
      </c>
    </row>
    <row r="7" spans="1:5" ht="14.4">
      <c r="A7" s="19" t="s">
        <v>204</v>
      </c>
      <c r="B7" s="21">
        <f>ROUND(SUM(B2:B6),2)</f>
        <v>0</v>
      </c>
      <c r="C7" s="21">
        <f>ROUND(SUM(C2:C6),2)</f>
        <v>0</v>
      </c>
      <c r="D7" s="21">
        <f>ROUND(SUM(D2:D6),2)</f>
        <v>0</v>
      </c>
      <c r="E7" s="21">
        <f>ROUND(SUM(E2:E6),2)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F6E7-DACB-4A94-B753-192DE370A7B0}">
  <sheetPr codeName="Sheet315"/>
  <dimension ref="A1:G19"/>
  <sheetViews>
    <sheetView workbookViewId="0">
      <selection activeCell="G8" sqref="G8"/>
    </sheetView>
  </sheetViews>
  <sheetFormatPr defaultRowHeight="13.8"/>
  <sheetData>
    <row r="1" spans="1:7">
      <c r="A1" t="s">
        <v>2383</v>
      </c>
      <c r="B1" t="s">
        <v>95</v>
      </c>
      <c r="C1" t="s">
        <v>3680</v>
      </c>
      <c r="D1" t="s">
        <v>4889</v>
      </c>
      <c r="E1" t="s">
        <v>2478</v>
      </c>
      <c r="F1" t="s">
        <v>3385</v>
      </c>
      <c r="G1" t="s">
        <v>4890</v>
      </c>
    </row>
    <row r="2" spans="1:7">
      <c r="A2" t="str">
        <f>IF(OR(ABS(E2)&gt;0),基础信息!$B$1,"")</f>
        <v/>
      </c>
      <c r="B2" s="276"/>
      <c r="C2" s="276"/>
      <c r="D2" s="276"/>
      <c r="E2" s="255"/>
      <c r="F2" t="str">
        <f>B2&amp;C2</f>
        <v/>
      </c>
      <c r="G2" t="str">
        <f>B2&amp;C2&amp;D2</f>
        <v/>
      </c>
    </row>
    <row r="3" spans="1:7">
      <c r="A3" t="str">
        <f>IF(OR(ABS(E3)&gt;0),基础信息!$B$1,"")</f>
        <v/>
      </c>
      <c r="B3" s="276"/>
      <c r="C3" s="276"/>
      <c r="D3" s="276"/>
      <c r="E3" s="255"/>
      <c r="F3" t="str">
        <f t="shared" ref="F3:F19" si="0">B3&amp;C3</f>
        <v/>
      </c>
      <c r="G3" t="str">
        <f t="shared" ref="G3:G19" si="1">B3&amp;C3&amp;D3</f>
        <v/>
      </c>
    </row>
    <row r="4" spans="1:7">
      <c r="A4" t="str">
        <f>IF(OR(ABS(E4)&gt;0),基础信息!$B$1,"")</f>
        <v/>
      </c>
      <c r="B4" s="276"/>
      <c r="C4" s="276"/>
      <c r="D4" s="276"/>
      <c r="E4" s="255"/>
      <c r="F4" t="str">
        <f t="shared" si="0"/>
        <v/>
      </c>
      <c r="G4" t="str">
        <f t="shared" si="1"/>
        <v/>
      </c>
    </row>
    <row r="5" spans="1:7">
      <c r="A5" t="str">
        <f>IF(OR(ABS(E5)&gt;0),基础信息!$B$1,"")</f>
        <v/>
      </c>
      <c r="B5" s="276"/>
      <c r="C5" s="276"/>
      <c r="D5" s="276"/>
      <c r="E5" s="255"/>
      <c r="F5" t="str">
        <f t="shared" si="0"/>
        <v/>
      </c>
      <c r="G5" t="str">
        <f t="shared" si="1"/>
        <v/>
      </c>
    </row>
    <row r="6" spans="1:7">
      <c r="A6" t="str">
        <f>IF(OR(ABS(E6)&gt;0),基础信息!$B$1,"")</f>
        <v/>
      </c>
      <c r="B6" s="276"/>
      <c r="C6" s="276"/>
      <c r="D6" s="276"/>
      <c r="E6" s="255"/>
      <c r="F6" t="str">
        <f t="shared" si="0"/>
        <v/>
      </c>
      <c r="G6" t="str">
        <f t="shared" si="1"/>
        <v/>
      </c>
    </row>
    <row r="7" spans="1:7">
      <c r="A7" t="str">
        <f>IF(OR(ABS(E7)&gt;0),基础信息!$B$1,"")</f>
        <v/>
      </c>
      <c r="B7" s="276"/>
      <c r="C7" s="276"/>
      <c r="D7" s="276"/>
      <c r="E7" s="255"/>
      <c r="F7" t="str">
        <f t="shared" si="0"/>
        <v/>
      </c>
      <c r="G7" t="str">
        <f t="shared" si="1"/>
        <v/>
      </c>
    </row>
    <row r="8" spans="1:7">
      <c r="A8" t="str">
        <f>IF(OR(ABS(E8)&gt;0),基础信息!$B$1,"")</f>
        <v/>
      </c>
      <c r="B8" s="276"/>
      <c r="C8" s="276"/>
      <c r="D8" s="276"/>
      <c r="E8" s="255"/>
      <c r="F8" t="str">
        <f t="shared" si="0"/>
        <v/>
      </c>
      <c r="G8" t="str">
        <f t="shared" si="1"/>
        <v/>
      </c>
    </row>
    <row r="9" spans="1:7">
      <c r="A9" t="str">
        <f>IF(OR(ABS(E9)&gt;0),基础信息!$B$1,"")</f>
        <v/>
      </c>
      <c r="B9" s="276"/>
      <c r="C9" s="276"/>
      <c r="D9" s="276"/>
      <c r="E9" s="255"/>
      <c r="F9" t="str">
        <f t="shared" si="0"/>
        <v/>
      </c>
      <c r="G9" t="str">
        <f t="shared" si="1"/>
        <v/>
      </c>
    </row>
    <row r="10" spans="1:7">
      <c r="A10" t="str">
        <f>IF(OR(ABS(E10)&gt;0),基础信息!$B$1,"")</f>
        <v/>
      </c>
      <c r="B10" s="276"/>
      <c r="C10" s="276"/>
      <c r="D10" s="276"/>
      <c r="E10" s="255"/>
      <c r="F10" t="str">
        <f t="shared" si="0"/>
        <v/>
      </c>
      <c r="G10" t="str">
        <f t="shared" si="1"/>
        <v/>
      </c>
    </row>
    <row r="11" spans="1:7">
      <c r="A11" t="str">
        <f>IF(OR(ABS(E11)&gt;0),基础信息!$B$1,"")</f>
        <v/>
      </c>
      <c r="B11" s="276"/>
      <c r="C11" s="276"/>
      <c r="D11" s="276"/>
      <c r="E11" s="255"/>
      <c r="F11" t="str">
        <f t="shared" si="0"/>
        <v/>
      </c>
      <c r="G11" t="str">
        <f t="shared" si="1"/>
        <v/>
      </c>
    </row>
    <row r="12" spans="1:7">
      <c r="A12" t="str">
        <f>IF(OR(ABS(E12)&gt;0),基础信息!$B$1,"")</f>
        <v/>
      </c>
      <c r="B12" s="276"/>
      <c r="C12" s="276"/>
      <c r="D12" s="276"/>
      <c r="E12" s="255"/>
      <c r="F12" t="str">
        <f t="shared" si="0"/>
        <v/>
      </c>
      <c r="G12" t="str">
        <f t="shared" si="1"/>
        <v/>
      </c>
    </row>
    <row r="13" spans="1:7">
      <c r="A13" t="str">
        <f>IF(OR(ABS(E13)&gt;0),基础信息!$B$1,"")</f>
        <v/>
      </c>
      <c r="B13" s="276"/>
      <c r="C13" s="276"/>
      <c r="D13" s="276"/>
      <c r="E13" s="255"/>
      <c r="F13" t="str">
        <f t="shared" si="0"/>
        <v/>
      </c>
      <c r="G13" t="str">
        <f t="shared" si="1"/>
        <v/>
      </c>
    </row>
    <row r="14" spans="1:7">
      <c r="A14" t="str">
        <f>IF(OR(ABS(E14)&gt;0),基础信息!$B$1,"")</f>
        <v/>
      </c>
      <c r="B14" s="276"/>
      <c r="C14" s="276"/>
      <c r="D14" s="276"/>
      <c r="E14" s="255"/>
      <c r="F14" t="str">
        <f t="shared" si="0"/>
        <v/>
      </c>
      <c r="G14" t="str">
        <f t="shared" si="1"/>
        <v/>
      </c>
    </row>
    <row r="15" spans="1:7">
      <c r="A15" t="str">
        <f>IF(OR(ABS(E15)&gt;0),基础信息!$B$1,"")</f>
        <v/>
      </c>
      <c r="B15" s="276"/>
      <c r="C15" s="276"/>
      <c r="D15" s="276"/>
      <c r="E15" s="255"/>
      <c r="F15" t="str">
        <f t="shared" si="0"/>
        <v/>
      </c>
      <c r="G15" t="str">
        <f t="shared" si="1"/>
        <v/>
      </c>
    </row>
    <row r="16" spans="1:7">
      <c r="A16" t="str">
        <f>IF(OR(ABS(E16)&gt;0),基础信息!$B$1,"")</f>
        <v/>
      </c>
      <c r="B16" s="276"/>
      <c r="C16" s="276"/>
      <c r="D16" s="276"/>
      <c r="E16" s="255"/>
      <c r="F16" t="str">
        <f t="shared" si="0"/>
        <v/>
      </c>
      <c r="G16" t="str">
        <f t="shared" si="1"/>
        <v/>
      </c>
    </row>
    <row r="17" spans="1:7">
      <c r="A17" t="str">
        <f>IF(OR(ABS(E17)&gt;0),基础信息!$B$1,"")</f>
        <v/>
      </c>
      <c r="B17" s="276"/>
      <c r="C17" s="276"/>
      <c r="D17" s="276"/>
      <c r="E17" s="255"/>
      <c r="F17" t="str">
        <f t="shared" si="0"/>
        <v/>
      </c>
      <c r="G17" t="str">
        <f t="shared" si="1"/>
        <v/>
      </c>
    </row>
    <row r="18" spans="1:7">
      <c r="A18" t="str">
        <f>IF(OR(ABS(E18)&gt;0),基础信息!$B$1,"")</f>
        <v/>
      </c>
      <c r="B18" s="276"/>
      <c r="C18" s="276"/>
      <c r="D18" s="276"/>
      <c r="E18" s="255"/>
      <c r="F18" t="str">
        <f t="shared" si="0"/>
        <v/>
      </c>
      <c r="G18" t="str">
        <f t="shared" si="1"/>
        <v/>
      </c>
    </row>
    <row r="19" spans="1:7">
      <c r="A19" t="str">
        <f>IF(OR(ABS(E19)&gt;0),基础信息!$B$1,"")</f>
        <v/>
      </c>
      <c r="B19" s="276"/>
      <c r="C19" s="276"/>
      <c r="D19" s="276"/>
      <c r="E19" s="255"/>
      <c r="F19" t="str">
        <f t="shared" si="0"/>
        <v/>
      </c>
      <c r="G19"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873D08F-B3F8-453F-8D36-79350184D842}">
          <x14:formula1>
            <xm:f>分类表!$102:$102</xm:f>
          </x14:formula1>
          <xm:sqref>B2:B15</xm:sqref>
        </x14:dataValidation>
        <x14:dataValidation type="list" allowBlank="1" showInputMessage="1" showErrorMessage="1" xr:uid="{79183705-B60A-465A-9F7A-46B5E560714D}">
          <x14:formula1>
            <xm:f>分类表!$45:$45</xm:f>
          </x14:formula1>
          <xm:sqref>C2:C19</xm:sqref>
        </x14:dataValidation>
        <x14:dataValidation type="list" allowBlank="1" showInputMessage="1" showErrorMessage="1" xr:uid="{C5FA66C1-4A5B-458B-A534-184EDDA4C96F}">
          <x14:formula1>
            <xm:f>信息分类表!$13:$13</xm:f>
          </x14:formula1>
          <xm:sqref>D2:D19</xm:sqref>
        </x14:dataValidation>
      </x14:dataValidations>
    </ext>
  </extLst>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codeName="Sheet316">
    <tabColor rgb="FFFFC000"/>
  </sheetPr>
  <dimension ref="A1:E11"/>
  <sheetViews>
    <sheetView workbookViewId="0">
      <selection activeCell="G15" sqref="G15"/>
    </sheetView>
  </sheetViews>
  <sheetFormatPr defaultRowHeight="13.8"/>
  <cols>
    <col min="1" max="1" width="21.88671875" style="18" customWidth="1"/>
    <col min="2" max="16384" width="8.88671875" style="18"/>
  </cols>
  <sheetData>
    <row r="1" spans="1:5" ht="28.8">
      <c r="A1" s="32" t="s">
        <v>28</v>
      </c>
      <c r="B1" s="32" t="s">
        <v>641</v>
      </c>
      <c r="C1" s="32" t="s">
        <v>642</v>
      </c>
      <c r="D1" s="32" t="s">
        <v>643</v>
      </c>
      <c r="E1" s="32" t="s">
        <v>644</v>
      </c>
    </row>
    <row r="2" spans="1:5" ht="14.4">
      <c r="A2" s="345" t="s">
        <v>2816</v>
      </c>
      <c r="B2" s="293">
        <f>ROUND(SUMIF(其他业务明细表!$F:$F,B$1&amp;$A2,其他业务明细表!$E:$E),2)</f>
        <v>0</v>
      </c>
      <c r="C2" s="293">
        <f>ROUND(SUMIF(其他业务明细表!$F:$F,C$1&amp;$A2,其他业务明细表!$E:$E),2)</f>
        <v>0</v>
      </c>
      <c r="D2" s="293">
        <f>ROUND(SUMIF(其他业务明细表!$F:$F,D$1&amp;$A2,其他业务明细表!$E:$E),2)</f>
        <v>0</v>
      </c>
      <c r="E2" s="293">
        <f>ROUND(SUMIF(其他业务明细表!$F:$F,E$1&amp;$A2,其他业务明细表!$E:$E),2)</f>
        <v>0</v>
      </c>
    </row>
    <row r="3" spans="1:5" ht="14.4">
      <c r="A3" s="345" t="s">
        <v>2821</v>
      </c>
      <c r="B3" s="293">
        <f>ROUND(SUMIF(其他业务明细表!$F:$F,B$1&amp;$A3,其他业务明细表!$E:$E),2)</f>
        <v>0</v>
      </c>
      <c r="C3" s="293">
        <f>ROUND(SUMIF(其他业务明细表!$F:$F,C$1&amp;$A3,其他业务明细表!$E:$E),2)</f>
        <v>0</v>
      </c>
      <c r="D3" s="293">
        <f>ROUND(SUMIF(其他业务明细表!$F:$F,D$1&amp;$A3,其他业务明细表!$E:$E),2)</f>
        <v>0</v>
      </c>
      <c r="E3" s="293">
        <f>ROUND(SUMIF(其他业务明细表!$F:$F,E$1&amp;$A3,其他业务明细表!$E:$E),2)</f>
        <v>0</v>
      </c>
    </row>
    <row r="4" spans="1:5" ht="14.4">
      <c r="A4" s="345" t="s">
        <v>2822</v>
      </c>
      <c r="B4" s="293">
        <f>ROUND(SUMIF(其他业务明细表!$F:$F,B$1&amp;$A4,其他业务明细表!$E:$E),2)</f>
        <v>0</v>
      </c>
      <c r="C4" s="293">
        <f>ROUND(SUMIF(其他业务明细表!$F:$F,C$1&amp;$A4,其他业务明细表!$E:$E),2)</f>
        <v>0</v>
      </c>
      <c r="D4" s="293">
        <f>ROUND(SUMIF(其他业务明细表!$F:$F,D$1&amp;$A4,其他业务明细表!$E:$E),2)</f>
        <v>0</v>
      </c>
      <c r="E4" s="293">
        <f>ROUND(SUMIF(其他业务明细表!$F:$F,E$1&amp;$A4,其他业务明细表!$E:$E),2)</f>
        <v>0</v>
      </c>
    </row>
    <row r="5" spans="1:5" ht="14.4">
      <c r="A5" s="345"/>
      <c r="B5" s="293">
        <f>ROUND(SUMIF(其他业务明细表!$F:$F,B$1&amp;$A5,其他业务明细表!$E:$E),2)</f>
        <v>0</v>
      </c>
      <c r="C5" s="293">
        <f>ROUND(SUMIF(其他业务明细表!$F:$F,C$1&amp;$A5,其他业务明细表!$E:$E),2)</f>
        <v>0</v>
      </c>
      <c r="D5" s="293">
        <f>ROUND(SUMIF(其他业务明细表!$F:$F,D$1&amp;$A5,其他业务明细表!$E:$E),2)</f>
        <v>0</v>
      </c>
      <c r="E5" s="293">
        <f>ROUND(SUMIF(其他业务明细表!$F:$F,E$1&amp;$A5,其他业务明细表!$E:$E),2)</f>
        <v>0</v>
      </c>
    </row>
    <row r="6" spans="1:5" ht="14.4">
      <c r="A6" s="345"/>
      <c r="B6" s="293">
        <f>ROUND(SUMIF(其他业务明细表!$F:$F,B$1&amp;$A6,其他业务明细表!$E:$E),2)</f>
        <v>0</v>
      </c>
      <c r="C6" s="293">
        <f>ROUND(SUMIF(其他业务明细表!$F:$F,C$1&amp;$A6,其他业务明细表!$E:$E),2)</f>
        <v>0</v>
      </c>
      <c r="D6" s="293">
        <f>ROUND(SUMIF(其他业务明细表!$F:$F,D$1&amp;$A6,其他业务明细表!$E:$E),2)</f>
        <v>0</v>
      </c>
      <c r="E6" s="293">
        <f>ROUND(SUMIF(其他业务明细表!$F:$F,E$1&amp;$A6,其他业务明细表!$E:$E),2)</f>
        <v>0</v>
      </c>
    </row>
    <row r="7" spans="1:5" ht="14.4">
      <c r="A7" s="345"/>
      <c r="B7" s="293">
        <f>ROUND(SUMIF(其他业务明细表!$F:$F,B$1&amp;$A7,其他业务明细表!$E:$E),2)</f>
        <v>0</v>
      </c>
      <c r="C7" s="293">
        <f>ROUND(SUMIF(其他业务明细表!$F:$F,C$1&amp;$A7,其他业务明细表!$E:$E),2)</f>
        <v>0</v>
      </c>
      <c r="D7" s="293">
        <f>ROUND(SUMIF(其他业务明细表!$F:$F,D$1&amp;$A7,其他业务明细表!$E:$E),2)</f>
        <v>0</v>
      </c>
      <c r="E7" s="293">
        <f>ROUND(SUMIF(其他业务明细表!$F:$F,E$1&amp;$A7,其他业务明细表!$E:$E),2)</f>
        <v>0</v>
      </c>
    </row>
    <row r="8" spans="1:5" ht="14.4">
      <c r="A8" s="345"/>
      <c r="B8" s="293">
        <f>ROUND(SUMIF(其他业务明细表!$F:$F,B$1&amp;$A8,其他业务明细表!$E:$E),2)</f>
        <v>0</v>
      </c>
      <c r="C8" s="293">
        <f>ROUND(SUMIF(其他业务明细表!$F:$F,C$1&amp;$A8,其他业务明细表!$E:$E),2)</f>
        <v>0</v>
      </c>
      <c r="D8" s="293">
        <f>ROUND(SUMIF(其他业务明细表!$F:$F,D$1&amp;$A8,其他业务明细表!$E:$E),2)</f>
        <v>0</v>
      </c>
      <c r="E8" s="293">
        <f>ROUND(SUMIF(其他业务明细表!$F:$F,E$1&amp;$A8,其他业务明细表!$E:$E),2)</f>
        <v>0</v>
      </c>
    </row>
    <row r="9" spans="1:5" ht="14.4">
      <c r="A9" s="345"/>
      <c r="B9" s="293">
        <f>ROUND(SUMIF(其他业务明细表!$F:$F,B$1&amp;$A9,其他业务明细表!$E:$E),2)</f>
        <v>0</v>
      </c>
      <c r="C9" s="293">
        <f>ROUND(SUMIF(其他业务明细表!$F:$F,C$1&amp;$A9,其他业务明细表!$E:$E),2)</f>
        <v>0</v>
      </c>
      <c r="D9" s="293">
        <f>ROUND(SUMIF(其他业务明细表!$F:$F,D$1&amp;$A9,其他业务明细表!$E:$E),2)</f>
        <v>0</v>
      </c>
      <c r="E9" s="293">
        <f>ROUND(SUMIF(其他业务明细表!$F:$F,E$1&amp;$A9,其他业务明细表!$E:$E),2)</f>
        <v>0</v>
      </c>
    </row>
    <row r="10" spans="1:5" ht="14.4">
      <c r="A10" s="345"/>
      <c r="B10" s="293">
        <f>ROUND(SUMIF(其他业务明细表!$F:$F,B$1&amp;$A10,其他业务明细表!$E:$E),2)</f>
        <v>0</v>
      </c>
      <c r="C10" s="293">
        <f>ROUND(SUMIF(其他业务明细表!$F:$F,C$1&amp;$A10,其他业务明细表!$E:$E),2)</f>
        <v>0</v>
      </c>
      <c r="D10" s="293">
        <f>ROUND(SUMIF(其他业务明细表!$F:$F,D$1&amp;$A10,其他业务明细表!$E:$E),2)</f>
        <v>0</v>
      </c>
      <c r="E10" s="293">
        <f>ROUND(SUMIF(其他业务明细表!$F:$F,E$1&amp;$A10,其他业务明细表!$E:$E),2)</f>
        <v>0</v>
      </c>
    </row>
    <row r="11" spans="1:5" ht="14.4">
      <c r="A11" s="19" t="s">
        <v>204</v>
      </c>
      <c r="B11" s="68">
        <f>ROUND(SUM(B2:B10),2)</f>
        <v>0</v>
      </c>
      <c r="C11" s="68">
        <f>ROUND(SUM(C2:C10),2)</f>
        <v>0</v>
      </c>
      <c r="D11" s="68">
        <f>ROUND(SUM(D2:D10),2)</f>
        <v>0</v>
      </c>
      <c r="E11" s="68">
        <f>ROUND(SUM(E2:E10),2)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7867-E69E-47CD-9329-64AC8C814B85}">
  <sheetPr codeName="Sheet317"/>
  <dimension ref="A1:F19"/>
  <sheetViews>
    <sheetView workbookViewId="0">
      <selection activeCell="L28" sqref="L28"/>
    </sheetView>
  </sheetViews>
  <sheetFormatPr defaultRowHeight="13.8"/>
  <cols>
    <col min="4" max="4" width="9.5546875" bestFit="1" customWidth="1"/>
  </cols>
  <sheetData>
    <row r="1" spans="1:6">
      <c r="A1" t="s">
        <v>2383</v>
      </c>
      <c r="B1" t="s">
        <v>95</v>
      </c>
      <c r="C1" t="s">
        <v>3680</v>
      </c>
      <c r="D1" t="s">
        <v>4889</v>
      </c>
      <c r="E1" t="s">
        <v>2478</v>
      </c>
      <c r="F1" t="s">
        <v>3385</v>
      </c>
    </row>
    <row r="2" spans="1:6">
      <c r="A2" t="str">
        <f>IF(OR(ABS(E2)&gt;0),基础信息!$B$1,"")</f>
        <v/>
      </c>
      <c r="B2" s="276"/>
      <c r="C2" s="276"/>
      <c r="D2" s="276"/>
      <c r="E2" s="255"/>
      <c r="F2" t="str">
        <f>B2&amp;C2</f>
        <v/>
      </c>
    </row>
    <row r="3" spans="1:6">
      <c r="A3" t="str">
        <f>IF(OR(ABS(E3)&gt;0),基础信息!$B$1,"")</f>
        <v/>
      </c>
      <c r="B3" s="276"/>
      <c r="C3" s="276"/>
      <c r="D3" s="276"/>
      <c r="E3" s="255"/>
      <c r="F3" t="str">
        <f>B3&amp;C3</f>
        <v/>
      </c>
    </row>
    <row r="4" spans="1:6">
      <c r="A4" t="str">
        <f>IF(OR(ABS(E4)&gt;0),基础信息!$B$1,"")</f>
        <v/>
      </c>
      <c r="B4" s="276"/>
      <c r="C4" s="276"/>
      <c r="D4" s="276"/>
      <c r="E4" s="255"/>
      <c r="F4" t="str">
        <f>B4&amp;C4</f>
        <v/>
      </c>
    </row>
    <row r="5" spans="1:6">
      <c r="A5" t="str">
        <f>IF(OR(ABS(E5)&gt;0),基础信息!$B$1,"")</f>
        <v/>
      </c>
      <c r="B5" s="276"/>
      <c r="C5" s="276"/>
      <c r="D5" s="276"/>
      <c r="E5" s="255"/>
      <c r="F5" t="str">
        <f>B5&amp;C5</f>
        <v/>
      </c>
    </row>
    <row r="6" spans="1:6">
      <c r="A6" t="str">
        <f>IF(OR(ABS(E6)&gt;0),基础信息!$B$1,"")</f>
        <v/>
      </c>
      <c r="B6" s="276"/>
      <c r="C6" s="276"/>
      <c r="D6" s="276"/>
      <c r="E6" s="255"/>
      <c r="F6" t="str">
        <f>B6&amp;C6</f>
        <v/>
      </c>
    </row>
    <row r="7" spans="1:6">
      <c r="A7" t="str">
        <f>IF(OR(ABS(E7)&gt;0),基础信息!$B$1,"")</f>
        <v/>
      </c>
      <c r="B7" s="276"/>
      <c r="C7" s="276"/>
      <c r="D7" s="276"/>
      <c r="E7" s="255"/>
      <c r="F7" t="str">
        <f>B7&amp;C7</f>
        <v/>
      </c>
    </row>
    <row r="8" spans="1:6">
      <c r="A8" t="str">
        <f>IF(OR(ABS(E8)&gt;0),基础信息!$B$1,"")</f>
        <v/>
      </c>
      <c r="B8" s="276"/>
      <c r="C8" s="276"/>
      <c r="D8" s="276"/>
      <c r="E8" s="255"/>
      <c r="F8" t="str">
        <f>B8&amp;C8</f>
        <v/>
      </c>
    </row>
    <row r="9" spans="1:6">
      <c r="A9" t="str">
        <f>IF(OR(ABS(E9)&gt;0),基础信息!$B$1,"")</f>
        <v/>
      </c>
      <c r="B9" s="276"/>
      <c r="C9" s="276"/>
      <c r="D9" s="276"/>
      <c r="E9" s="255"/>
      <c r="F9" t="str">
        <f>B9&amp;C9</f>
        <v/>
      </c>
    </row>
    <row r="10" spans="1:6">
      <c r="A10" t="str">
        <f>IF(OR(ABS(E10)&gt;0),基础信息!$B$1,"")</f>
        <v/>
      </c>
      <c r="B10" s="276"/>
      <c r="C10" s="276"/>
      <c r="D10" s="276"/>
      <c r="E10" s="255"/>
      <c r="F10" t="str">
        <f>B10&amp;C10</f>
        <v/>
      </c>
    </row>
    <row r="11" spans="1:6">
      <c r="A11" t="str">
        <f>IF(OR(ABS(E11)&gt;0),基础信息!$B$1,"")</f>
        <v/>
      </c>
      <c r="B11" s="276"/>
      <c r="C11" s="276"/>
      <c r="D11" s="276"/>
      <c r="E11" s="255"/>
      <c r="F11" t="str">
        <f>B11&amp;C11</f>
        <v/>
      </c>
    </row>
    <row r="12" spans="1:6">
      <c r="A12" t="str">
        <f>IF(OR(ABS(E12)&gt;0),基础信息!$B$1,"")</f>
        <v/>
      </c>
      <c r="B12" s="276"/>
      <c r="C12" s="276"/>
      <c r="D12" s="276"/>
      <c r="E12" s="255"/>
      <c r="F12" t="str">
        <f>B12&amp;C12</f>
        <v/>
      </c>
    </row>
    <row r="13" spans="1:6">
      <c r="A13" t="str">
        <f>IF(OR(ABS(E13)&gt;0),基础信息!$B$1,"")</f>
        <v/>
      </c>
      <c r="B13" s="276"/>
      <c r="C13" s="276"/>
      <c r="D13" s="276"/>
      <c r="E13" s="255"/>
      <c r="F13" t="str">
        <f>B13&amp;C13</f>
        <v/>
      </c>
    </row>
    <row r="14" spans="1:6">
      <c r="A14" t="str">
        <f>IF(OR(ABS(E14)&gt;0),基础信息!$B$1,"")</f>
        <v/>
      </c>
      <c r="B14" s="276"/>
      <c r="C14" s="276"/>
      <c r="D14" s="276"/>
      <c r="E14" s="255"/>
      <c r="F14" t="str">
        <f>B14&amp;C14</f>
        <v/>
      </c>
    </row>
    <row r="15" spans="1:6">
      <c r="A15" t="str">
        <f>IF(OR(ABS(E15)&gt;0),基础信息!$B$1,"")</f>
        <v/>
      </c>
      <c r="B15" s="276"/>
      <c r="C15" s="276"/>
      <c r="D15" s="276"/>
      <c r="E15" s="255"/>
      <c r="F15" t="str">
        <f>B15&amp;C15</f>
        <v/>
      </c>
    </row>
    <row r="16" spans="1:6">
      <c r="A16" t="str">
        <f>IF(OR(ABS(E16)&gt;0),基础信息!$B$1,"")</f>
        <v/>
      </c>
      <c r="B16" s="276"/>
      <c r="C16" s="276"/>
      <c r="D16" s="276"/>
      <c r="E16" s="255"/>
      <c r="F16" t="str">
        <f>B16&amp;C16</f>
        <v/>
      </c>
    </row>
    <row r="17" spans="1:6">
      <c r="A17" t="str">
        <f>IF(OR(ABS(E17)&gt;0),基础信息!$B$1,"")</f>
        <v/>
      </c>
      <c r="B17" s="276"/>
      <c r="C17" s="276"/>
      <c r="D17" s="276"/>
      <c r="E17" s="255"/>
      <c r="F17" t="str">
        <f>B17&amp;C17</f>
        <v/>
      </c>
    </row>
    <row r="18" spans="1:6">
      <c r="A18" t="str">
        <f>IF(OR(ABS(E18)&gt;0),基础信息!$B$1,"")</f>
        <v/>
      </c>
      <c r="B18" s="276"/>
      <c r="C18" s="276"/>
      <c r="D18" s="276"/>
      <c r="E18" s="255"/>
      <c r="F18" t="str">
        <f>B18&amp;C18</f>
        <v/>
      </c>
    </row>
    <row r="19" spans="1:6">
      <c r="A19" t="str">
        <f>IF(OR(ABS(E19)&gt;0),基础信息!$B$1,"")</f>
        <v/>
      </c>
      <c r="B19" s="276"/>
      <c r="C19" s="276"/>
      <c r="D19" s="276"/>
      <c r="E19" s="255"/>
      <c r="F19" t="str">
        <f>B19&amp;C19</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118B29E-BF5F-4DAE-A107-84FF12F028AA}">
          <x14:formula1>
            <xm:f>分类表!$45:$45</xm:f>
          </x14:formula1>
          <xm:sqref>C2:C19</xm:sqref>
        </x14:dataValidation>
        <x14:dataValidation type="list" allowBlank="1" showInputMessage="1" showErrorMessage="1" xr:uid="{95992FE6-3190-4CBD-81D0-7E73A04B2EB3}">
          <x14:formula1>
            <xm:f>分类表!$102:$102</xm:f>
          </x14:formula1>
          <xm:sqref>B2:B15</xm:sqref>
        </x14:dataValidation>
        <x14:dataValidation type="list" allowBlank="1" showInputMessage="1" showErrorMessage="1" xr:uid="{F47FB88C-319B-4B02-9EB0-46456F9B708A}">
          <x14:formula1>
            <xm:f>信息分类表!$13:$13</xm:f>
          </x14:formula1>
          <xm:sqref>D2:D19</xm:sqref>
        </x14:dataValidation>
      </x14:dataValidations>
    </ext>
  </extLst>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10A1-7590-4D76-B706-FD21B2C45FD5}">
  <sheetPr>
    <tabColor rgb="FFFFC000"/>
  </sheetPr>
  <dimension ref="A1:F9"/>
  <sheetViews>
    <sheetView workbookViewId="0">
      <selection activeCell="F16" sqref="F16"/>
    </sheetView>
  </sheetViews>
  <sheetFormatPr defaultRowHeight="13.8"/>
  <cols>
    <col min="1" max="1" width="41.88671875" customWidth="1"/>
    <col min="2" max="2" width="16.109375" bestFit="1" customWidth="1"/>
    <col min="3" max="3" width="18.33203125" bestFit="1" customWidth="1"/>
    <col min="4" max="5" width="9.5546875" bestFit="1" customWidth="1"/>
    <col min="6" max="6" width="13.88671875" bestFit="1" customWidth="1"/>
  </cols>
  <sheetData>
    <row r="1" spans="1:6">
      <c r="A1" t="s">
        <v>95</v>
      </c>
      <c r="B1" t="s">
        <v>4862</v>
      </c>
      <c r="C1" t="s">
        <v>4859</v>
      </c>
      <c r="D1" t="s">
        <v>4860</v>
      </c>
      <c r="E1" t="s">
        <v>4863</v>
      </c>
      <c r="F1" t="s">
        <v>262</v>
      </c>
    </row>
    <row r="2" spans="1:6">
      <c r="A2" s="261" t="s">
        <v>645</v>
      </c>
      <c r="B2" s="263">
        <f>SUM(B3:B7)</f>
        <v>0</v>
      </c>
      <c r="C2" s="263">
        <f>SUM(C3:C7)</f>
        <v>0</v>
      </c>
      <c r="D2" s="263">
        <f>SUM(D3:D7)</f>
        <v>0</v>
      </c>
      <c r="E2" s="263">
        <f>SUM(E3:E7)</f>
        <v>0</v>
      </c>
      <c r="F2" s="263">
        <f>SUM(B2:E2)</f>
        <v>0</v>
      </c>
    </row>
    <row r="3" spans="1:6">
      <c r="A3" t="str">
        <f>主营业务收入与主营业务成本!A2</f>
        <v>住宅销售</v>
      </c>
      <c r="B3" s="229">
        <f>SUMIF(主营业务明细表!G:G,"本期收入"&amp;按收入确认时点分解!$A3&amp;按收入确认时点分解!B$1,主营业务明细表!E:E)</f>
        <v>0</v>
      </c>
      <c r="C3" s="229">
        <f>SUMIF(主营业务明细表!H:H,"本期收入"&amp;按收入确认时点分解!$A3&amp;按收入确认时点分解!C$1,主营业务明细表!F:F)</f>
        <v>0</v>
      </c>
      <c r="D3" s="229">
        <f>SUMIF(主营业务明细表!I:I,"本期收入"&amp;按收入确认时点分解!$A3&amp;按收入确认时点分解!D$1,主营业务明细表!G:G)</f>
        <v>0</v>
      </c>
      <c r="E3" s="229">
        <f>SUMIF(主营业务明细表!J:J,"本期收入"&amp;按收入确认时点分解!$A3&amp;按收入确认时点分解!E$1,主营业务明细表!H:H)</f>
        <v>0</v>
      </c>
      <c r="F3" s="229">
        <f t="shared" ref="F3:F8" si="0">SUM(B3:E3)</f>
        <v>0</v>
      </c>
    </row>
    <row r="4" spans="1:6">
      <c r="A4" t="str">
        <f>主营业务收入与主营业务成本!A3</f>
        <v>工程项目</v>
      </c>
      <c r="B4" s="229">
        <f>SUMIF(主营业务明细表!G:G,"本期收入"&amp;按收入确认时点分解!$A4&amp;按收入确认时点分解!B$1,主营业务明细表!E:E)</f>
        <v>0</v>
      </c>
      <c r="C4" s="229">
        <f>SUMIF(主营业务明细表!H:H,"本期收入"&amp;按收入确认时点分解!$A4&amp;按收入确认时点分解!C$1,主营业务明细表!F:F)</f>
        <v>0</v>
      </c>
      <c r="D4" s="229">
        <f>SUMIF(主营业务明细表!I:I,"本期收入"&amp;按收入确认时点分解!$A4&amp;按收入确认时点分解!D$1,主营业务明细表!G:G)</f>
        <v>0</v>
      </c>
      <c r="E4" s="229">
        <f>SUMIF(主营业务明细表!J:J,"本期收入"&amp;按收入确认时点分解!$A4&amp;按收入确认时点分解!E$1,主营业务明细表!H:H)</f>
        <v>0</v>
      </c>
      <c r="F4" s="229">
        <f t="shared" si="0"/>
        <v>0</v>
      </c>
    </row>
    <row r="5" spans="1:6">
      <c r="A5" t="str">
        <f>主营业务收入与主营业务成本!A4</f>
        <v>商品及使用权转让</v>
      </c>
      <c r="B5" s="229">
        <f>SUMIF(主营业务明细表!G:G,"本期收入"&amp;按收入确认时点分解!$A5&amp;按收入确认时点分解!B$1,主营业务明细表!E:E)</f>
        <v>0</v>
      </c>
      <c r="C5" s="229">
        <f>SUMIF(主营业务明细表!H:H,"本期收入"&amp;按收入确认时点分解!$A5&amp;按收入确认时点分解!C$1,主营业务明细表!F:F)</f>
        <v>0</v>
      </c>
      <c r="D5" s="229">
        <f>SUMIF(主营业务明细表!I:I,"本期收入"&amp;按收入确认时点分解!$A5&amp;按收入确认时点分解!D$1,主营业务明细表!G:G)</f>
        <v>0</v>
      </c>
      <c r="E5" s="229">
        <f>SUMIF(主营业务明细表!J:J,"本期收入"&amp;按收入确认时点分解!$A5&amp;按收入确认时点分解!E$1,主营业务明细表!H:H)</f>
        <v>0</v>
      </c>
      <c r="F5" s="229">
        <f t="shared" si="0"/>
        <v>0</v>
      </c>
    </row>
    <row r="6" spans="1:6">
      <c r="A6" t="str">
        <f>主营业务收入与主营业务成本!A5</f>
        <v>租赁收入</v>
      </c>
      <c r="B6" s="229">
        <f>SUMIF(主营业务明细表!G:G,"本期收入"&amp;按收入确认时点分解!$A6&amp;按收入确认时点分解!B$1,主营业务明细表!E:E)</f>
        <v>0</v>
      </c>
      <c r="C6" s="229">
        <f>SUMIF(主营业务明细表!H:H,"本期收入"&amp;按收入确认时点分解!$A6&amp;按收入确认时点分解!C$1,主营业务明细表!F:F)</f>
        <v>0</v>
      </c>
      <c r="D6" s="229">
        <f>SUMIF(主营业务明细表!I:I,"本期收入"&amp;按收入确认时点分解!$A6&amp;按收入确认时点分解!D$1,主营业务明细表!G:G)</f>
        <v>0</v>
      </c>
      <c r="E6" s="229">
        <f>SUMIF(主营业务明细表!J:J,"本期收入"&amp;按收入确认时点分解!$A6&amp;按收入确认时点分解!E$1,主营业务明细表!H:H)</f>
        <v>0</v>
      </c>
      <c r="F6" s="229">
        <f t="shared" si="0"/>
        <v>0</v>
      </c>
    </row>
    <row r="7" spans="1:6">
      <c r="A7" t="str">
        <f>主营业务收入与主营业务成本!A6</f>
        <v>管理咨询服务</v>
      </c>
      <c r="B7" s="229">
        <f>SUMIF(主营业务明细表!G:G,"本期收入"&amp;按收入确认时点分解!$A7&amp;按收入确认时点分解!B$1,主营业务明细表!E:E)</f>
        <v>0</v>
      </c>
      <c r="C7" s="229">
        <f>SUMIF(主营业务明细表!H:H,"本期收入"&amp;按收入确认时点分解!$A7&amp;按收入确认时点分解!C$1,主营业务明细表!F:F)</f>
        <v>0</v>
      </c>
      <c r="D7" s="229">
        <f>SUMIF(主营业务明细表!I:I,"本期收入"&amp;按收入确认时点分解!$A7&amp;按收入确认时点分解!D$1,主营业务明细表!G:G)</f>
        <v>0</v>
      </c>
      <c r="E7" s="229">
        <f>SUMIF(主营业务明细表!J:J,"本期收入"&amp;按收入确认时点分解!$A7&amp;按收入确认时点分解!E$1,主营业务明细表!H:H)</f>
        <v>0</v>
      </c>
      <c r="F7" s="229">
        <f t="shared" si="0"/>
        <v>0</v>
      </c>
    </row>
    <row r="8" spans="1:6">
      <c r="A8" s="261" t="s">
        <v>646</v>
      </c>
      <c r="B8" s="229">
        <f>SUMIF(其他业务明细表!D:D,按收入确认时点分解!B1,其他业务明细表!E:E)</f>
        <v>0</v>
      </c>
      <c r="C8" s="229">
        <f>SUMIF(其他业务明细表!E:E,按收入确认时点分解!C1,其他业务明细表!F:F)</f>
        <v>0</v>
      </c>
      <c r="D8" s="229">
        <f>SUMIF(其他业务明细表!F:F,按收入确认时点分解!D1,其他业务明细表!G:G)</f>
        <v>0</v>
      </c>
      <c r="E8" s="229">
        <f>SUMIF(其他业务明细表!G:G,按收入确认时点分解!E1,其他业务明细表!H:H)</f>
        <v>0</v>
      </c>
      <c r="F8" s="229">
        <f t="shared" si="0"/>
        <v>0</v>
      </c>
    </row>
    <row r="9" spans="1:6">
      <c r="A9" t="s">
        <v>262</v>
      </c>
      <c r="B9" s="229">
        <f>SUM(B2,B8)</f>
        <v>0</v>
      </c>
      <c r="C9" s="229">
        <f>SUM(C2,C8)</f>
        <v>0</v>
      </c>
      <c r="D9" s="229">
        <f>SUM(D2,D8)</f>
        <v>0</v>
      </c>
      <c r="E9" s="229">
        <f>SUM(E2,E8)</f>
        <v>0</v>
      </c>
      <c r="F9" s="229">
        <f>SUM(F2,F8)</f>
        <v>0</v>
      </c>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codeName="Sheet318">
    <tabColor rgb="FFFFC000"/>
  </sheetPr>
  <dimension ref="A1:C12"/>
  <sheetViews>
    <sheetView workbookViewId="0">
      <selection activeCell="E16" sqref="E16"/>
    </sheetView>
  </sheetViews>
  <sheetFormatPr defaultRowHeight="13.8"/>
  <cols>
    <col min="1" max="4" width="17.5546875" style="18" customWidth="1"/>
    <col min="5" max="16384" width="8.88671875" style="18"/>
  </cols>
  <sheetData>
    <row r="1" spans="1:3" ht="14.4">
      <c r="A1" s="31" t="s">
        <v>28</v>
      </c>
      <c r="B1" s="20" t="s">
        <v>577</v>
      </c>
      <c r="C1" s="20" t="s">
        <v>634</v>
      </c>
    </row>
    <row r="2" spans="1:3" ht="14.4">
      <c r="A2" s="377" t="s">
        <v>105</v>
      </c>
      <c r="B2" s="267"/>
      <c r="C2" s="267"/>
    </row>
    <row r="3" spans="1:3" ht="14.4">
      <c r="A3" s="377" t="s">
        <v>521</v>
      </c>
      <c r="B3" s="267"/>
      <c r="C3" s="267"/>
    </row>
    <row r="4" spans="1:3" ht="14.4">
      <c r="A4" s="377" t="s">
        <v>108</v>
      </c>
      <c r="B4" s="267"/>
      <c r="C4" s="267"/>
    </row>
    <row r="5" spans="1:3" ht="14.4">
      <c r="A5" s="377" t="s">
        <v>522</v>
      </c>
      <c r="B5" s="267"/>
      <c r="C5" s="267"/>
    </row>
    <row r="6" spans="1:3" ht="14.4">
      <c r="A6" s="377" t="s">
        <v>647</v>
      </c>
      <c r="B6" s="267"/>
      <c r="C6" s="267"/>
    </row>
    <row r="7" spans="1:3" ht="14.4">
      <c r="A7" s="377" t="s">
        <v>2256</v>
      </c>
      <c r="B7" s="267"/>
      <c r="C7" s="267"/>
    </row>
    <row r="8" spans="1:3" ht="14.4">
      <c r="A8" s="377" t="s">
        <v>1893</v>
      </c>
      <c r="B8" s="267"/>
      <c r="C8" s="267"/>
    </row>
    <row r="9" spans="1:3" ht="14.4">
      <c r="A9" s="377" t="s">
        <v>1891</v>
      </c>
      <c r="B9" s="267"/>
      <c r="C9" s="267"/>
    </row>
    <row r="10" spans="1:3" ht="14.4">
      <c r="A10" s="377" t="s">
        <v>1890</v>
      </c>
      <c r="B10" s="267"/>
      <c r="C10" s="267"/>
    </row>
    <row r="11" spans="1:3" ht="14.4">
      <c r="A11" s="377" t="s">
        <v>648</v>
      </c>
      <c r="B11" s="267"/>
      <c r="C11" s="267"/>
    </row>
    <row r="12" spans="1:3" ht="14.4">
      <c r="A12" s="31" t="s">
        <v>204</v>
      </c>
      <c r="B12" s="68">
        <f>ROUND(SUM(B2:B11),2)</f>
        <v>0</v>
      </c>
      <c r="C12" s="68">
        <f>ROUND(SUM(C2:C11),2)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codeName="Sheet319">
    <tabColor rgb="FFFFC000"/>
  </sheetPr>
  <dimension ref="A1:C21"/>
  <sheetViews>
    <sheetView workbookViewId="0">
      <selection activeCell="G17" sqref="G17"/>
    </sheetView>
  </sheetViews>
  <sheetFormatPr defaultRowHeight="13.8"/>
  <cols>
    <col min="1" max="1" width="32.6640625" style="18" customWidth="1"/>
    <col min="2" max="16384" width="8.88671875" style="18"/>
  </cols>
  <sheetData>
    <row r="1" spans="1:3" ht="28.8">
      <c r="A1" s="31" t="s">
        <v>28</v>
      </c>
      <c r="B1" s="20" t="s">
        <v>577</v>
      </c>
      <c r="C1" s="20" t="s">
        <v>634</v>
      </c>
    </row>
    <row r="2" spans="1:3" ht="14.4">
      <c r="A2" s="377" t="s">
        <v>2295</v>
      </c>
      <c r="B2" s="280"/>
      <c r="C2" s="280"/>
    </row>
    <row r="3" spans="1:3" ht="14.4">
      <c r="A3" s="377" t="s">
        <v>2168</v>
      </c>
      <c r="B3" s="280"/>
      <c r="C3" s="280"/>
    </row>
    <row r="4" spans="1:3" ht="14.4">
      <c r="A4" s="377" t="s">
        <v>2296</v>
      </c>
      <c r="B4" s="280"/>
      <c r="C4" s="280"/>
    </row>
    <row r="5" spans="1:3" ht="14.4">
      <c r="A5" s="377" t="s">
        <v>2297</v>
      </c>
      <c r="B5" s="280"/>
      <c r="C5" s="280"/>
    </row>
    <row r="6" spans="1:3" ht="14.4">
      <c r="A6" s="377" t="s">
        <v>2298</v>
      </c>
      <c r="B6" s="280"/>
      <c r="C6" s="280"/>
    </row>
    <row r="7" spans="1:3" ht="14.4">
      <c r="A7" s="377" t="s">
        <v>2299</v>
      </c>
      <c r="B7" s="280"/>
      <c r="C7" s="280"/>
    </row>
    <row r="8" spans="1:3" ht="14.4">
      <c r="A8" s="377" t="s">
        <v>2300</v>
      </c>
      <c r="B8" s="280"/>
      <c r="C8" s="280"/>
    </row>
    <row r="9" spans="1:3" ht="14.4">
      <c r="A9" s="377" t="s">
        <v>2301</v>
      </c>
      <c r="B9" s="280"/>
      <c r="C9" s="280"/>
    </row>
    <row r="10" spans="1:3" ht="14.4">
      <c r="A10" s="377" t="s">
        <v>2302</v>
      </c>
      <c r="B10" s="280"/>
      <c r="C10" s="280"/>
    </row>
    <row r="11" spans="1:3" ht="14.4">
      <c r="A11" s="377" t="s">
        <v>2303</v>
      </c>
      <c r="B11" s="280"/>
      <c r="C11" s="280"/>
    </row>
    <row r="12" spans="1:3" ht="14.4">
      <c r="A12" s="377" t="s">
        <v>2304</v>
      </c>
      <c r="B12" s="280"/>
      <c r="C12" s="280"/>
    </row>
    <row r="13" spans="1:3" ht="14.4">
      <c r="A13" s="377" t="s">
        <v>2316</v>
      </c>
      <c r="B13" s="280"/>
      <c r="C13" s="280"/>
    </row>
    <row r="14" spans="1:3" ht="14.4">
      <c r="A14" s="377" t="s">
        <v>2305</v>
      </c>
      <c r="B14" s="280"/>
      <c r="C14" s="280"/>
    </row>
    <row r="15" spans="1:3" ht="14.4">
      <c r="A15" s="377" t="s">
        <v>701</v>
      </c>
      <c r="B15" s="280"/>
      <c r="C15" s="280"/>
    </row>
    <row r="16" spans="1:3" ht="14.4">
      <c r="A16" s="377" t="s">
        <v>2306</v>
      </c>
      <c r="B16" s="280"/>
      <c r="C16" s="280"/>
    </row>
    <row r="17" spans="1:3" ht="14.4">
      <c r="A17" s="377" t="s">
        <v>2307</v>
      </c>
      <c r="B17" s="280"/>
      <c r="C17" s="280"/>
    </row>
    <row r="18" spans="1:3" ht="14.4">
      <c r="A18" s="377" t="s">
        <v>2308</v>
      </c>
      <c r="B18" s="280"/>
      <c r="C18" s="280"/>
    </row>
    <row r="19" spans="1:3" ht="14.4">
      <c r="A19" s="377"/>
      <c r="B19" s="280"/>
      <c r="C19" s="280"/>
    </row>
    <row r="20" spans="1:3" ht="14.4">
      <c r="A20" s="377"/>
      <c r="B20" s="280"/>
      <c r="C20" s="280"/>
    </row>
    <row r="21" spans="1:3" ht="14.4">
      <c r="A21" s="31" t="s">
        <v>204</v>
      </c>
      <c r="B21" s="21">
        <f>ROUND(SUM(B2:B20),2)</f>
        <v>0</v>
      </c>
      <c r="C21" s="21">
        <f>ROUND(SUM(C2:C20),2)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A2:A20</xm:sqref>
        </x14:dataValidation>
      </x14:dataValidations>
    </ext>
  </extLst>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codeName="Sheet320">
    <tabColor rgb="FFFFC000"/>
  </sheetPr>
  <dimension ref="A1:C28"/>
  <sheetViews>
    <sheetView workbookViewId="0">
      <selection activeCell="B28" sqref="B28:C28"/>
    </sheetView>
  </sheetViews>
  <sheetFormatPr defaultRowHeight="13.8"/>
  <cols>
    <col min="1" max="1" width="32" style="18" customWidth="1"/>
    <col min="2" max="2" width="8.88671875" style="18"/>
    <col min="3" max="3" width="20.109375" style="18" customWidth="1"/>
    <col min="4" max="16384" width="8.88671875" style="18"/>
  </cols>
  <sheetData>
    <row r="1" spans="1:3" ht="14.4">
      <c r="A1" s="31" t="s">
        <v>28</v>
      </c>
      <c r="B1" s="20" t="s">
        <v>577</v>
      </c>
      <c r="C1" s="20" t="s">
        <v>634</v>
      </c>
    </row>
    <row r="2" spans="1:3" ht="14.4">
      <c r="A2" s="378" t="s">
        <v>3885</v>
      </c>
      <c r="B2" s="269"/>
      <c r="C2" s="269"/>
    </row>
    <row r="3" spans="1:3" ht="14.4">
      <c r="A3" s="378" t="s">
        <v>2295</v>
      </c>
      <c r="B3" s="280"/>
      <c r="C3" s="280"/>
    </row>
    <row r="4" spans="1:3" ht="14.4">
      <c r="A4" s="378" t="s">
        <v>2168</v>
      </c>
      <c r="B4" s="280"/>
      <c r="C4" s="280"/>
    </row>
    <row r="5" spans="1:3" ht="14.4">
      <c r="A5" s="378" t="s">
        <v>2296</v>
      </c>
      <c r="B5" s="280"/>
      <c r="C5" s="280"/>
    </row>
    <row r="6" spans="1:3" ht="14.4">
      <c r="A6" s="378" t="s">
        <v>2309</v>
      </c>
      <c r="B6" s="280"/>
      <c r="C6" s="280"/>
    </row>
    <row r="7" spans="1:3" ht="14.4">
      <c r="A7" s="378" t="s">
        <v>2310</v>
      </c>
      <c r="B7" s="280"/>
      <c r="C7" s="280"/>
    </row>
    <row r="8" spans="1:3" ht="14.4">
      <c r="A8" s="378" t="s">
        <v>2298</v>
      </c>
      <c r="B8" s="280"/>
      <c r="C8" s="280"/>
    </row>
    <row r="9" spans="1:3" ht="14.4">
      <c r="A9" s="378" t="s">
        <v>2299</v>
      </c>
      <c r="B9" s="280"/>
      <c r="C9" s="280"/>
    </row>
    <row r="10" spans="1:3" ht="14.4">
      <c r="A10" s="378" t="s">
        <v>2311</v>
      </c>
      <c r="B10" s="280"/>
      <c r="C10" s="280"/>
    </row>
    <row r="11" spans="1:3" ht="14.4">
      <c r="A11" s="378" t="s">
        <v>2312</v>
      </c>
      <c r="B11" s="280"/>
      <c r="C11" s="280"/>
    </row>
    <row r="12" spans="1:3" ht="14.4">
      <c r="A12" s="378" t="s">
        <v>2313</v>
      </c>
      <c r="B12" s="280"/>
      <c r="C12" s="280"/>
    </row>
    <row r="13" spans="1:3" ht="14.4">
      <c r="A13" s="378" t="s">
        <v>2314</v>
      </c>
      <c r="B13" s="280"/>
      <c r="C13" s="280"/>
    </row>
    <row r="14" spans="1:3" ht="14.4">
      <c r="A14" s="378" t="s">
        <v>2301</v>
      </c>
      <c r="B14" s="280"/>
      <c r="C14" s="280"/>
    </row>
    <row r="15" spans="1:3" ht="14.4">
      <c r="A15" s="378" t="s">
        <v>2315</v>
      </c>
      <c r="B15" s="280"/>
      <c r="C15" s="280"/>
    </row>
    <row r="16" spans="1:3" ht="14.4">
      <c r="A16" s="378" t="s">
        <v>2302</v>
      </c>
      <c r="B16" s="280"/>
      <c r="C16" s="280"/>
    </row>
    <row r="17" spans="1:3" ht="14.4">
      <c r="A17" s="378" t="s">
        <v>700</v>
      </c>
      <c r="B17" s="280"/>
      <c r="C17" s="280"/>
    </row>
    <row r="18" spans="1:3" ht="14.4">
      <c r="A18" s="378" t="s">
        <v>2303</v>
      </c>
      <c r="B18" s="280"/>
      <c r="C18" s="280"/>
    </row>
    <row r="19" spans="1:3" ht="14.4">
      <c r="A19" s="378" t="s">
        <v>2304</v>
      </c>
      <c r="B19" s="280"/>
      <c r="C19" s="280"/>
    </row>
    <row r="20" spans="1:3" ht="14.4">
      <c r="A20" s="378" t="s">
        <v>2316</v>
      </c>
      <c r="B20" s="280"/>
      <c r="C20" s="280"/>
    </row>
    <row r="21" spans="1:3" ht="14.4">
      <c r="A21" s="378" t="s">
        <v>701</v>
      </c>
      <c r="B21" s="280"/>
      <c r="C21" s="280"/>
    </row>
    <row r="22" spans="1:3" ht="14.4">
      <c r="A22" s="378" t="s">
        <v>2317</v>
      </c>
      <c r="B22" s="280"/>
      <c r="C22" s="280"/>
    </row>
    <row r="23" spans="1:3" ht="14.4">
      <c r="A23" s="378" t="s">
        <v>2306</v>
      </c>
      <c r="B23" s="280"/>
      <c r="C23" s="280"/>
    </row>
    <row r="24" spans="1:3" ht="14.4">
      <c r="A24" s="378" t="s">
        <v>2307</v>
      </c>
      <c r="B24" s="280"/>
      <c r="C24" s="280"/>
    </row>
    <row r="25" spans="1:3" ht="14.4">
      <c r="A25" s="378" t="s">
        <v>2308</v>
      </c>
      <c r="B25" s="280"/>
      <c r="C25" s="280"/>
    </row>
    <row r="26" spans="1:3" ht="14.4">
      <c r="A26" s="378"/>
      <c r="B26" s="280"/>
      <c r="C26" s="280"/>
    </row>
    <row r="27" spans="1:3" ht="14.4">
      <c r="A27" s="378"/>
      <c r="B27" s="280"/>
      <c r="C27" s="280"/>
    </row>
    <row r="28" spans="1:3" ht="14.4">
      <c r="A28" s="31" t="s">
        <v>204</v>
      </c>
      <c r="B28" s="21">
        <f>ROUND(SUM(B2:B27),2)</f>
        <v>0</v>
      </c>
      <c r="C28" s="21">
        <f>ROUND(SUM(C2:C27),2)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A2:A27</xm:sqref>
        </x14:dataValidation>
      </x14:dataValidations>
    </ext>
  </extLst>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codeName="Sheet321">
    <tabColor rgb="FFFFC000"/>
  </sheetPr>
  <dimension ref="A1:C24"/>
  <sheetViews>
    <sheetView workbookViewId="0">
      <selection activeCell="G19" sqref="G19"/>
    </sheetView>
  </sheetViews>
  <sheetFormatPr defaultRowHeight="13.8"/>
  <cols>
    <col min="1" max="1" width="20.44140625" style="18" customWidth="1"/>
    <col min="2" max="2" width="8.88671875" style="18"/>
    <col min="3" max="3" width="15.109375" style="18" customWidth="1"/>
    <col min="4" max="16384" width="8.88671875" style="18"/>
  </cols>
  <sheetData>
    <row r="1" spans="1:3" ht="14.4">
      <c r="A1" s="31" t="s">
        <v>28</v>
      </c>
      <c r="B1" s="20" t="s">
        <v>577</v>
      </c>
      <c r="C1" s="20" t="s">
        <v>634</v>
      </c>
    </row>
    <row r="2" spans="1:3" ht="14.4">
      <c r="A2" s="377" t="s">
        <v>2307</v>
      </c>
      <c r="B2" s="280"/>
      <c r="C2" s="280"/>
    </row>
    <row r="3" spans="1:3" ht="14.4">
      <c r="A3" s="377" t="s">
        <v>2306</v>
      </c>
      <c r="B3" s="280"/>
      <c r="C3" s="280"/>
    </row>
    <row r="4" spans="1:3" ht="14.4">
      <c r="A4" s="377" t="s">
        <v>2296</v>
      </c>
      <c r="B4" s="280"/>
      <c r="C4" s="280"/>
    </row>
    <row r="5" spans="1:3" ht="14.4">
      <c r="A5" s="377" t="s">
        <v>2308</v>
      </c>
      <c r="B5" s="280"/>
      <c r="C5" s="280"/>
    </row>
    <row r="6" spans="1:3" ht="14.4">
      <c r="A6" s="377" t="s">
        <v>3887</v>
      </c>
      <c r="B6" s="280"/>
      <c r="C6" s="280"/>
    </row>
    <row r="7" spans="1:3" ht="14.4">
      <c r="A7" s="377" t="s">
        <v>2247</v>
      </c>
      <c r="B7" s="280"/>
      <c r="C7" s="280"/>
    </row>
    <row r="8" spans="1:3" ht="14.4">
      <c r="A8" s="377" t="s">
        <v>2248</v>
      </c>
      <c r="B8" s="280"/>
      <c r="C8" s="280"/>
    </row>
    <row r="9" spans="1:3" ht="14.4">
      <c r="A9" s="377" t="s">
        <v>3886</v>
      </c>
      <c r="B9" s="280"/>
      <c r="C9" s="280"/>
    </row>
    <row r="10" spans="1:3" ht="14.4">
      <c r="A10" s="377"/>
      <c r="B10" s="280"/>
      <c r="C10" s="280"/>
    </row>
    <row r="11" spans="1:3" ht="14.4">
      <c r="A11" s="377"/>
      <c r="B11" s="280"/>
      <c r="C11" s="280"/>
    </row>
    <row r="12" spans="1:3" ht="14.4">
      <c r="A12" s="377"/>
      <c r="B12" s="280"/>
      <c r="C12" s="280"/>
    </row>
    <row r="13" spans="1:3" ht="14.4">
      <c r="A13" s="377"/>
      <c r="B13" s="280"/>
      <c r="C13" s="280"/>
    </row>
    <row r="14" spans="1:3" ht="14.4">
      <c r="A14" s="377"/>
      <c r="B14" s="280"/>
      <c r="C14" s="280"/>
    </row>
    <row r="15" spans="1:3" ht="14.4">
      <c r="A15" s="377"/>
      <c r="B15" s="280"/>
      <c r="C15" s="280"/>
    </row>
    <row r="16" spans="1:3" ht="14.4">
      <c r="A16" s="377"/>
      <c r="B16" s="280"/>
      <c r="C16" s="280"/>
    </row>
    <row r="17" spans="1:3" ht="14.4">
      <c r="A17" s="377"/>
      <c r="B17" s="280"/>
      <c r="C17" s="280"/>
    </row>
    <row r="18" spans="1:3" ht="14.4">
      <c r="A18" s="377"/>
      <c r="B18" s="280"/>
      <c r="C18" s="280"/>
    </row>
    <row r="19" spans="1:3" ht="14.4">
      <c r="A19" s="377"/>
      <c r="B19" s="280"/>
      <c r="C19" s="280"/>
    </row>
    <row r="20" spans="1:3" ht="14.4">
      <c r="A20" s="377"/>
      <c r="B20" s="280"/>
      <c r="C20" s="280"/>
    </row>
    <row r="21" spans="1:3" ht="14.4">
      <c r="A21" s="377"/>
      <c r="B21" s="280"/>
      <c r="C21" s="280"/>
    </row>
    <row r="22" spans="1:3" ht="14.4">
      <c r="A22" s="377"/>
      <c r="B22" s="280"/>
      <c r="C22" s="280"/>
    </row>
    <row r="23" spans="1:3" ht="14.4">
      <c r="A23" s="377"/>
      <c r="B23" s="280"/>
      <c r="C23" s="280"/>
    </row>
    <row r="24" spans="1:3" ht="14.4">
      <c r="A24" s="31" t="s">
        <v>204</v>
      </c>
      <c r="B24" s="21">
        <f>ROUND(SUM(B2:B23),2)</f>
        <v>0</v>
      </c>
      <c r="C24" s="21">
        <f>ROUND(SUM(C2:C23),2)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93072C-CA17-4A98-BE98-3B0B5F294E38}">
          <x14:formula1>
            <xm:f>分类表!$51:$51</xm:f>
          </x14:formula1>
          <xm:sqref>A2:A23</xm:sqref>
        </x14:dataValidation>
      </x14:dataValidations>
    </ext>
  </extLst>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codeName="Sheet322">
    <tabColor rgb="FFFFC000"/>
  </sheetPr>
  <dimension ref="A1:C10"/>
  <sheetViews>
    <sheetView workbookViewId="0">
      <selection activeCell="G28" sqref="G28"/>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28</v>
      </c>
      <c r="B1" s="153" t="s">
        <v>577</v>
      </c>
      <c r="C1" s="153" t="s">
        <v>634</v>
      </c>
    </row>
    <row r="2" spans="1:3" ht="14.4">
      <c r="A2" s="32" t="s">
        <v>1918</v>
      </c>
      <c r="B2" s="293">
        <f>财务费用分类表!B11</f>
        <v>0</v>
      </c>
      <c r="C2" s="293">
        <f>财务费用分类表!C11</f>
        <v>0</v>
      </c>
    </row>
    <row r="3" spans="1:3" ht="14.4">
      <c r="A3" s="32" t="s">
        <v>1919</v>
      </c>
      <c r="B3" s="267"/>
      <c r="C3" s="267"/>
    </row>
    <row r="4" spans="1:3" ht="14.4">
      <c r="A4" s="32" t="s">
        <v>1920</v>
      </c>
      <c r="B4" s="267"/>
      <c r="C4" s="267"/>
    </row>
    <row r="5" spans="1:3" ht="14.4">
      <c r="A5" s="32" t="s">
        <v>1922</v>
      </c>
      <c r="B5" s="68">
        <f>ROUND(B2-B3+B4,2)</f>
        <v>0</v>
      </c>
      <c r="C5" s="68">
        <f>ROUND(C2-C3+C4,2)</f>
        <v>0</v>
      </c>
    </row>
    <row r="6" spans="1:3" ht="14.4">
      <c r="A6" s="32" t="s">
        <v>1921</v>
      </c>
      <c r="B6" s="267"/>
      <c r="C6" s="267"/>
    </row>
    <row r="7" spans="1:3" ht="14.4">
      <c r="A7" s="32" t="s">
        <v>3312</v>
      </c>
      <c r="B7" s="293">
        <f>财务费用分类表!B5</f>
        <v>0</v>
      </c>
      <c r="C7" s="293">
        <f>财务费用分类表!C5</f>
        <v>0</v>
      </c>
    </row>
    <row r="8" spans="1:3" ht="14.4">
      <c r="A8" s="32" t="s">
        <v>1923</v>
      </c>
      <c r="B8" s="267"/>
      <c r="C8" s="267"/>
    </row>
    <row r="9" spans="1:3" ht="14.4">
      <c r="A9" s="32" t="s">
        <v>1924</v>
      </c>
      <c r="B9" s="267"/>
      <c r="C9" s="267"/>
    </row>
    <row r="10" spans="1:3" ht="14.4">
      <c r="A10" s="31" t="s">
        <v>204</v>
      </c>
      <c r="B10" s="68">
        <f>ROUND(B5+B6-B7+B8+B9,2)</f>
        <v>0</v>
      </c>
      <c r="C10" s="68">
        <f>ROUND(C5+C6-C7+C8+C9,2)</f>
        <v>0</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sheetPr codeName="Sheet30">
    <tabColor rgb="FF00B0F0"/>
  </sheetPr>
  <dimension ref="A1:E16"/>
  <sheetViews>
    <sheetView workbookViewId="0">
      <selection activeCell="B23" sqref="B23"/>
    </sheetView>
  </sheetViews>
  <sheetFormatPr defaultRowHeight="13.8"/>
  <cols>
    <col min="1" max="1" width="71" bestFit="1" customWidth="1"/>
    <col min="2" max="2" width="13.88671875" style="229" bestFit="1" customWidth="1"/>
    <col min="3" max="4" width="8.88671875" style="229"/>
    <col min="5" max="5" width="13.88671875" bestFit="1" customWidth="1"/>
  </cols>
  <sheetData>
    <row r="1" spans="1:5">
      <c r="A1" t="s">
        <v>2895</v>
      </c>
      <c r="B1" s="229" t="s">
        <v>2908</v>
      </c>
      <c r="C1" s="229" t="s">
        <v>2478</v>
      </c>
      <c r="D1" s="229" t="s">
        <v>2351</v>
      </c>
      <c r="E1" t="s">
        <v>95</v>
      </c>
    </row>
    <row r="2" spans="1:5">
      <c r="A2" t="s">
        <v>650</v>
      </c>
      <c r="B2" s="229">
        <f>_xlfn.IFNA(VLOOKUP(A2,投资收益!A:B,2,0),0)</f>
        <v>0</v>
      </c>
      <c r="C2" s="229">
        <f>SUM(长期股权投资明细表!J:J)</f>
        <v>0</v>
      </c>
      <c r="D2" s="229">
        <f>B2-C2</f>
        <v>0</v>
      </c>
      <c r="E2" t="s">
        <v>2909</v>
      </c>
    </row>
    <row r="3" spans="1:5">
      <c r="A3" t="s">
        <v>2896</v>
      </c>
      <c r="B3" s="229">
        <f>_xlfn.IFNA(VLOOKUP(A3,投资收益!A:B,2,0),0)</f>
        <v>0</v>
      </c>
    </row>
    <row r="4" spans="1:5">
      <c r="A4" t="s">
        <v>2897</v>
      </c>
      <c r="B4" s="229">
        <f>_xlfn.IFNA(VLOOKUP(A4,投资收益!A:B,2,0),0)</f>
        <v>0</v>
      </c>
    </row>
    <row r="5" spans="1:5">
      <c r="A5" t="s">
        <v>653</v>
      </c>
      <c r="B5" s="229">
        <f>_xlfn.IFNA(VLOOKUP(A5,投资收益!A:B,2,0),0)</f>
        <v>0</v>
      </c>
    </row>
    <row r="6" spans="1:5">
      <c r="A6" t="s">
        <v>2898</v>
      </c>
      <c r="B6" s="229">
        <f>_xlfn.IFNA(VLOOKUP(A6,投资收益!A:B,2,0),0)</f>
        <v>0</v>
      </c>
    </row>
    <row r="7" spans="1:5">
      <c r="A7" t="s">
        <v>2899</v>
      </c>
      <c r="B7" s="229">
        <f>_xlfn.IFNA(VLOOKUP(A7,投资收益!A:B,2,0),0)</f>
        <v>0</v>
      </c>
    </row>
    <row r="8" spans="1:5">
      <c r="A8" t="s">
        <v>2900</v>
      </c>
      <c r="B8" s="229">
        <f>_xlfn.IFNA(VLOOKUP(A8,投资收益!A:B,2,0),0)</f>
        <v>0</v>
      </c>
    </row>
    <row r="9" spans="1:5">
      <c r="A9" t="s">
        <v>2901</v>
      </c>
      <c r="B9" s="229">
        <f>_xlfn.IFNA(VLOOKUP(A9,投资收益!A:B,2,0),0)</f>
        <v>0</v>
      </c>
      <c r="C9" s="229">
        <f>SUM(可供出售权益工具明细表!T:T)</f>
        <v>0</v>
      </c>
      <c r="D9" s="229">
        <f>B9-C9</f>
        <v>0</v>
      </c>
    </row>
    <row r="10" spans="1:5">
      <c r="A10" t="s">
        <v>2902</v>
      </c>
      <c r="B10" s="229">
        <f>_xlfn.IFNA(VLOOKUP(A10,投资收益!A:B,2,0),0)</f>
        <v>0</v>
      </c>
    </row>
    <row r="11" spans="1:5">
      <c r="A11" t="s">
        <v>2907</v>
      </c>
      <c r="B11" s="229">
        <f>_xlfn.IFNA(VLOOKUP(A11,投资收益!A:B,2,0),0)</f>
        <v>0</v>
      </c>
    </row>
    <row r="12" spans="1:5">
      <c r="A12" t="s">
        <v>2903</v>
      </c>
      <c r="B12" s="229">
        <f>_xlfn.IFNA(VLOOKUP(A12,投资收益!A:B,2,0),0)</f>
        <v>0</v>
      </c>
    </row>
    <row r="13" spans="1:5">
      <c r="A13" t="s">
        <v>2904</v>
      </c>
      <c r="B13" s="229">
        <f>_xlfn.IFNA(VLOOKUP(A13,投资收益!A:B,2,0),0)</f>
        <v>0</v>
      </c>
    </row>
    <row r="14" spans="1:5">
      <c r="A14" t="s">
        <v>2905</v>
      </c>
      <c r="B14" s="229">
        <f>_xlfn.IFNA(VLOOKUP(A14,投资收益!A:B,2,0),0)</f>
        <v>0</v>
      </c>
    </row>
    <row r="15" spans="1:5">
      <c r="A15" t="s">
        <v>2906</v>
      </c>
      <c r="B15" s="229">
        <f>_xlfn.IFNA(VLOOKUP(A15,投资收益!A:B,2,0),0)</f>
        <v>0</v>
      </c>
    </row>
    <row r="16" spans="1:5">
      <c r="A16" t="s">
        <v>2894</v>
      </c>
      <c r="B16" s="229">
        <f>_xlfn.IFNA(VLOOKUP(A16,投资收益!A:B,2,0),0)</f>
        <v>0</v>
      </c>
    </row>
  </sheetData>
  <phoneticPr fontId="1"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sheetPr codeName="Sheet323"/>
  <dimension ref="A1:C11"/>
  <sheetViews>
    <sheetView workbookViewId="0">
      <selection activeCell="A23" sqref="A23"/>
    </sheetView>
  </sheetViews>
  <sheetFormatPr defaultRowHeight="13.8"/>
  <cols>
    <col min="1" max="1" width="108" style="236" customWidth="1"/>
    <col min="2" max="3" width="8.88671875" style="229"/>
  </cols>
  <sheetData>
    <row r="1" spans="1:3">
      <c r="A1" s="352" t="s">
        <v>95</v>
      </c>
      <c r="B1" s="229" t="s">
        <v>412</v>
      </c>
      <c r="C1" s="229" t="s">
        <v>413</v>
      </c>
    </row>
    <row r="2" spans="1:3" ht="27.6">
      <c r="A2" s="236" t="s">
        <v>4854</v>
      </c>
      <c r="B2" s="288"/>
      <c r="C2" s="288"/>
    </row>
    <row r="3" spans="1:3">
      <c r="A3" s="236" t="s">
        <v>2686</v>
      </c>
      <c r="B3" s="288"/>
      <c r="C3" s="288"/>
    </row>
    <row r="4" spans="1:3">
      <c r="A4" s="236" t="s">
        <v>2687</v>
      </c>
      <c r="B4" s="288"/>
      <c r="C4" s="288"/>
    </row>
    <row r="5" spans="1:3">
      <c r="A5" s="270" t="s">
        <v>2689</v>
      </c>
      <c r="B5" s="263">
        <f>SUM(B2:B4)</f>
        <v>0</v>
      </c>
      <c r="C5" s="263">
        <f>SUM(C2:C4)</f>
        <v>0</v>
      </c>
    </row>
    <row r="6" spans="1:3">
      <c r="A6" s="236" t="s">
        <v>2688</v>
      </c>
      <c r="B6" s="288"/>
      <c r="C6" s="288"/>
    </row>
    <row r="7" spans="1:3">
      <c r="A7" s="236" t="s">
        <v>2550</v>
      </c>
      <c r="B7" s="288"/>
      <c r="C7" s="288"/>
    </row>
    <row r="8" spans="1:3">
      <c r="A8" s="236" t="s">
        <v>4855</v>
      </c>
      <c r="B8" s="288"/>
      <c r="C8" s="288"/>
    </row>
    <row r="9" spans="1:3">
      <c r="A9" s="236" t="s">
        <v>2551</v>
      </c>
      <c r="B9" s="288"/>
      <c r="C9" s="288"/>
    </row>
    <row r="10" spans="1:3">
      <c r="A10" s="236" t="s">
        <v>2552</v>
      </c>
      <c r="B10" s="288"/>
      <c r="C10" s="288"/>
    </row>
    <row r="11" spans="1:3">
      <c r="A11" s="270" t="s">
        <v>2690</v>
      </c>
      <c r="B11" s="263">
        <f>SUM(B6:B10)</f>
        <v>0</v>
      </c>
      <c r="C11" s="263">
        <f>SUM(C6:C10)</f>
        <v>0</v>
      </c>
    </row>
  </sheetData>
  <phoneticPr fontId="1" type="noConversion"/>
  <pageMargins left="0.7" right="0.7" top="0.75" bottom="0.75" header="0.3" footer="0.3"/>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codeName="Sheet324">
    <tabColor rgb="FFFFC000"/>
  </sheetPr>
  <dimension ref="A1:D8"/>
  <sheetViews>
    <sheetView workbookViewId="0">
      <selection activeCell="E21" sqref="E21"/>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28</v>
      </c>
      <c r="B1" s="20" t="s">
        <v>577</v>
      </c>
      <c r="C1" s="20" t="s">
        <v>634</v>
      </c>
      <c r="D1" s="20" t="s">
        <v>4892</v>
      </c>
    </row>
    <row r="2" spans="1:4" ht="14.4">
      <c r="A2" s="268"/>
      <c r="B2" s="280"/>
      <c r="C2" s="280"/>
      <c r="D2" s="345"/>
    </row>
    <row r="3" spans="1:4" ht="14.4">
      <c r="A3" s="268"/>
      <c r="B3" s="280"/>
      <c r="C3" s="280"/>
      <c r="D3" s="345"/>
    </row>
    <row r="4" spans="1:4" ht="14.4">
      <c r="A4" s="268"/>
      <c r="B4" s="280"/>
      <c r="C4" s="280"/>
      <c r="D4" s="345"/>
    </row>
    <row r="5" spans="1:4" ht="14.4">
      <c r="A5" s="268"/>
      <c r="B5" s="280"/>
      <c r="C5" s="280"/>
      <c r="D5" s="345"/>
    </row>
    <row r="6" spans="1:4" ht="14.4">
      <c r="A6" s="268"/>
      <c r="B6" s="280"/>
      <c r="C6" s="280"/>
      <c r="D6" s="345"/>
    </row>
    <row r="7" spans="1:4" ht="14.4">
      <c r="A7" s="268"/>
      <c r="B7" s="280"/>
      <c r="C7" s="280"/>
      <c r="D7" s="345"/>
    </row>
    <row r="8" spans="1:4" ht="14.4">
      <c r="A8" s="19" t="s">
        <v>204</v>
      </c>
      <c r="B8" s="21">
        <f>ROUND(SUM(B2:B7),2)</f>
        <v>0</v>
      </c>
      <c r="C8" s="21">
        <f>ROUND(SUM(C2:C7),2)</f>
        <v>0</v>
      </c>
      <c r="D8"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04D113-86D0-4090-80E8-78887119B3DF}">
          <x14:formula1>
            <xm:f>分类表!$58:$58</xm:f>
          </x14:formula1>
          <xm:sqref>D2:D7</xm:sqref>
        </x14:dataValidation>
      </x14:dataValidations>
    </ext>
  </extLst>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codeName="Sheet325">
    <tabColor rgb="FFFFC000"/>
  </sheetPr>
  <dimension ref="A1:C12"/>
  <sheetViews>
    <sheetView workbookViewId="0">
      <selection activeCell="E27" sqref="E27"/>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28</v>
      </c>
      <c r="B1" s="20" t="s">
        <v>577</v>
      </c>
      <c r="C1" s="20" t="s">
        <v>634</v>
      </c>
    </row>
    <row r="2" spans="1:3" ht="14.4">
      <c r="A2" s="345" t="s">
        <v>3000</v>
      </c>
      <c r="B2" s="280">
        <v>0</v>
      </c>
      <c r="C2" s="280"/>
    </row>
    <row r="3" spans="1:3" ht="14.4">
      <c r="A3" s="345" t="s">
        <v>651</v>
      </c>
      <c r="B3" s="280"/>
      <c r="C3" s="280"/>
    </row>
    <row r="4" spans="1:3" ht="14.4">
      <c r="A4" s="345" t="s">
        <v>656</v>
      </c>
      <c r="B4" s="280"/>
      <c r="C4" s="280"/>
    </row>
    <row r="5" spans="1:3" ht="14.4">
      <c r="A5" s="345" t="s">
        <v>657</v>
      </c>
      <c r="B5" s="280"/>
      <c r="C5" s="280"/>
    </row>
    <row r="6" spans="1:3" ht="14.4">
      <c r="A6" s="345"/>
      <c r="B6" s="280"/>
      <c r="C6" s="280"/>
    </row>
    <row r="7" spans="1:3" ht="14.4">
      <c r="A7" s="345"/>
      <c r="B7" s="280"/>
      <c r="C7" s="280"/>
    </row>
    <row r="8" spans="1:3" ht="14.4">
      <c r="A8" s="345"/>
      <c r="B8" s="280"/>
      <c r="C8" s="280"/>
    </row>
    <row r="9" spans="1:3" ht="14.4">
      <c r="A9" s="345"/>
      <c r="B9" s="280"/>
      <c r="C9" s="280"/>
    </row>
    <row r="10" spans="1:3" ht="14.4">
      <c r="A10" s="345"/>
      <c r="B10" s="280"/>
      <c r="C10" s="280"/>
    </row>
    <row r="11" spans="1:3" ht="14.4">
      <c r="A11" s="345"/>
      <c r="B11" s="280"/>
      <c r="C11" s="280"/>
    </row>
    <row r="12" spans="1:3" ht="14.4">
      <c r="A12" s="19" t="s">
        <v>204</v>
      </c>
      <c r="B12" s="21">
        <f>ROUND(SUM(B2:B11),2)</f>
        <v>0</v>
      </c>
      <c r="C12" s="21">
        <f>ROUND(SUM(C2:C11),2)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分类表!$55:$55</xm:f>
          </x14:formula1>
          <xm:sqref>A2:A11</xm:sqref>
        </x14:dataValidation>
      </x14:dataValidations>
    </ext>
  </extLst>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codeName="Sheet326">
    <tabColor rgb="FFFFC000"/>
  </sheetPr>
  <dimension ref="A1:C4"/>
  <sheetViews>
    <sheetView workbookViewId="0">
      <selection activeCell="C15" sqref="C15"/>
    </sheetView>
  </sheetViews>
  <sheetFormatPr defaultRowHeight="13.8"/>
  <cols>
    <col min="1" max="3" width="34.6640625" style="18" customWidth="1"/>
    <col min="4" max="16384" width="8.88671875" style="18"/>
  </cols>
  <sheetData>
    <row r="1" spans="1:3" ht="14.4">
      <c r="A1" s="19" t="s">
        <v>28</v>
      </c>
      <c r="B1" s="20" t="s">
        <v>577</v>
      </c>
      <c r="C1" s="20" t="s">
        <v>634</v>
      </c>
    </row>
    <row r="2" spans="1:3" ht="28.8">
      <c r="A2" s="34" t="s">
        <v>658</v>
      </c>
      <c r="B2" s="280"/>
      <c r="C2" s="269"/>
    </row>
    <row r="3" spans="1:3" ht="28.8">
      <c r="A3" s="34" t="s">
        <v>659</v>
      </c>
      <c r="B3" s="280"/>
      <c r="C3" s="269"/>
    </row>
    <row r="4" spans="1:3" ht="14.4">
      <c r="A4" s="35" t="s">
        <v>204</v>
      </c>
      <c r="B4" s="21">
        <f>ROUND(SUM(B2:B3),2)</f>
        <v>0</v>
      </c>
      <c r="C4" s="21">
        <f>ROUND(SUM(C2:C3),2)</f>
        <v>0</v>
      </c>
    </row>
  </sheetData>
  <phoneticPr fontId="1" type="noConversion"/>
  <pageMargins left="0.7" right="0.7" top="0.75" bottom="0.75" header="0.3" footer="0.3"/>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codeName="Sheet327">
    <tabColor rgb="FFFFC000"/>
  </sheetPr>
  <dimension ref="A1:C9"/>
  <sheetViews>
    <sheetView workbookViewId="0">
      <selection activeCell="D20" sqref="D20:D21"/>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28</v>
      </c>
      <c r="B1" s="20" t="s">
        <v>577</v>
      </c>
      <c r="C1" s="20" t="s">
        <v>634</v>
      </c>
    </row>
    <row r="2" spans="1:3" ht="14.4">
      <c r="A2" s="268" t="s">
        <v>660</v>
      </c>
      <c r="B2" s="280"/>
      <c r="C2" s="280"/>
    </row>
    <row r="3" spans="1:3" ht="14.4">
      <c r="A3" s="268" t="s">
        <v>661</v>
      </c>
      <c r="B3" s="280"/>
      <c r="C3" s="280"/>
    </row>
    <row r="4" spans="1:3" ht="28.8">
      <c r="A4" s="268" t="s">
        <v>662</v>
      </c>
      <c r="B4" s="280"/>
      <c r="C4" s="280"/>
    </row>
    <row r="5" spans="1:3" ht="14.4">
      <c r="A5" s="268" t="s">
        <v>663</v>
      </c>
      <c r="B5" s="280"/>
      <c r="C5" s="280"/>
    </row>
    <row r="6" spans="1:3" ht="28.8">
      <c r="A6" s="268" t="s">
        <v>664</v>
      </c>
      <c r="B6" s="280"/>
      <c r="C6" s="280"/>
    </row>
    <row r="7" spans="1:3" ht="14.4">
      <c r="A7" s="268" t="s">
        <v>665</v>
      </c>
      <c r="B7" s="280"/>
      <c r="C7" s="280"/>
    </row>
    <row r="8" spans="1:3" ht="14.4">
      <c r="A8" s="268" t="s">
        <v>13</v>
      </c>
      <c r="B8" s="280"/>
      <c r="C8" s="280"/>
    </row>
    <row r="9" spans="1:3" ht="14.4">
      <c r="A9" s="19" t="s">
        <v>204</v>
      </c>
      <c r="B9" s="21">
        <f>ROUND(SUM(B2:B8),2)</f>
        <v>0</v>
      </c>
      <c r="C9" s="21">
        <f>ROUND(SUM(C2:C8),2)</f>
        <v>0</v>
      </c>
    </row>
  </sheetData>
  <phoneticPr fontId="1" type="noConversion"/>
  <pageMargins left="0.7" right="0.7" top="0.75" bottom="0.75" header="0.3" footer="0.3"/>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codeName="Sheet328">
    <tabColor rgb="FFFFC000"/>
  </sheetPr>
  <dimension ref="A1:C6"/>
  <sheetViews>
    <sheetView workbookViewId="0">
      <selection activeCell="F19" sqref="F19:G20"/>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28</v>
      </c>
      <c r="B1" s="20" t="s">
        <v>577</v>
      </c>
      <c r="C1" s="20" t="s">
        <v>634</v>
      </c>
    </row>
    <row r="2" spans="1:3" ht="14.4">
      <c r="A2" s="268" t="s">
        <v>666</v>
      </c>
      <c r="B2" s="280"/>
      <c r="C2" s="246"/>
    </row>
    <row r="3" spans="1:3" ht="14.4">
      <c r="A3" s="268" t="s">
        <v>667</v>
      </c>
      <c r="B3" s="280"/>
      <c r="C3" s="246"/>
    </row>
    <row r="4" spans="1:3" ht="14.4">
      <c r="A4" s="268" t="s">
        <v>668</v>
      </c>
      <c r="B4" s="280"/>
      <c r="C4" s="246"/>
    </row>
    <row r="5" spans="1:3" ht="14.4">
      <c r="A5" s="268" t="s">
        <v>13</v>
      </c>
      <c r="B5" s="280"/>
      <c r="C5" s="246"/>
    </row>
    <row r="6" spans="1:3" ht="14.4">
      <c r="A6" s="19" t="s">
        <v>204</v>
      </c>
      <c r="B6" s="21">
        <f>ROUND(SUM(B2:B5),2)</f>
        <v>0</v>
      </c>
      <c r="C6" s="21">
        <f>ROUND(SUM(C2:C5),2)</f>
        <v>0</v>
      </c>
    </row>
  </sheetData>
  <phoneticPr fontId="1" type="noConversion"/>
  <pageMargins left="0.7" right="0.7" top="0.75" bottom="0.75" header="0.3" footer="0.3"/>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codeName="Sheet329">
    <tabColor rgb="FFFFC000"/>
  </sheetPr>
  <dimension ref="A1:C17"/>
  <sheetViews>
    <sheetView workbookViewId="0">
      <selection activeCell="G16" sqref="G16"/>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28</v>
      </c>
      <c r="B1" s="20" t="s">
        <v>577</v>
      </c>
      <c r="C1" s="20" t="s">
        <v>634</v>
      </c>
    </row>
    <row r="2" spans="1:3" ht="14.4">
      <c r="A2" s="19" t="s">
        <v>666</v>
      </c>
      <c r="B2" s="267"/>
      <c r="C2" s="267"/>
    </row>
    <row r="3" spans="1:3" ht="14.4">
      <c r="A3" s="19" t="s">
        <v>669</v>
      </c>
      <c r="B3" s="267"/>
      <c r="C3" s="267"/>
    </row>
    <row r="4" spans="1:3" ht="14.4">
      <c r="A4" s="19" t="s">
        <v>670</v>
      </c>
      <c r="B4" s="267"/>
      <c r="C4" s="267"/>
    </row>
    <row r="5" spans="1:3" ht="14.4">
      <c r="A5" s="19" t="s">
        <v>671</v>
      </c>
      <c r="B5" s="267"/>
      <c r="C5" s="267"/>
    </row>
    <row r="6" spans="1:3" ht="14.4">
      <c r="A6" s="19" t="s">
        <v>672</v>
      </c>
      <c r="B6" s="267"/>
      <c r="C6" s="267"/>
    </row>
    <row r="7" spans="1:3" ht="14.4">
      <c r="A7" s="19" t="s">
        <v>673</v>
      </c>
      <c r="B7" s="267"/>
      <c r="C7" s="267"/>
    </row>
    <row r="8" spans="1:3" ht="14.4">
      <c r="A8" s="19" t="s">
        <v>674</v>
      </c>
      <c r="B8" s="267"/>
      <c r="C8" s="267"/>
    </row>
    <row r="9" spans="1:3" ht="14.4">
      <c r="A9" s="19" t="s">
        <v>675</v>
      </c>
      <c r="B9" s="267"/>
      <c r="C9" s="267"/>
    </row>
    <row r="10" spans="1:3" ht="14.4">
      <c r="A10" s="19" t="s">
        <v>676</v>
      </c>
      <c r="B10" s="267"/>
      <c r="C10" s="267"/>
    </row>
    <row r="11" spans="1:3" ht="14.4">
      <c r="A11" s="19" t="s">
        <v>677</v>
      </c>
      <c r="B11" s="267"/>
      <c r="C11" s="267"/>
    </row>
    <row r="12" spans="1:3" ht="14.4">
      <c r="A12" s="19" t="s">
        <v>678</v>
      </c>
      <c r="B12" s="267"/>
      <c r="C12" s="267"/>
    </row>
    <row r="13" spans="1:3" ht="14.4">
      <c r="A13" s="19" t="s">
        <v>679</v>
      </c>
      <c r="B13" s="267"/>
      <c r="C13" s="267"/>
    </row>
    <row r="14" spans="1:3" ht="14.4">
      <c r="A14" s="19" t="s">
        <v>680</v>
      </c>
      <c r="B14" s="267"/>
      <c r="C14" s="267"/>
    </row>
    <row r="15" spans="1:3" ht="14.4">
      <c r="A15" s="19" t="s">
        <v>681</v>
      </c>
      <c r="B15" s="267"/>
      <c r="C15" s="267"/>
    </row>
    <row r="16" spans="1:3" ht="14.4">
      <c r="A16" s="19" t="s">
        <v>13</v>
      </c>
      <c r="B16" s="267"/>
      <c r="C16" s="267"/>
    </row>
    <row r="17" spans="1:3" ht="14.4">
      <c r="A17" s="19" t="s">
        <v>204</v>
      </c>
      <c r="B17" s="68">
        <f>ROUND(SUM(B2:B16),2)</f>
        <v>0</v>
      </c>
      <c r="C17" s="68">
        <f>ROUND(SUM(C2:C16),2)</f>
        <v>0</v>
      </c>
    </row>
  </sheetData>
  <phoneticPr fontId="1" type="noConversion"/>
  <pageMargins left="0.7" right="0.7" top="0.75" bottom="0.75" header="0.3" footer="0.3"/>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codeName="Sheet330">
    <tabColor rgb="FFFFC000"/>
  </sheetPr>
  <dimension ref="A1:D8"/>
  <sheetViews>
    <sheetView workbookViewId="0">
      <pane xSplit="1" ySplit="1" topLeftCell="B2" activePane="bottomRight" state="frozen"/>
      <selection activeCell="D22" sqref="D22"/>
      <selection pane="topRight" activeCell="D22" sqref="D22"/>
      <selection pane="bottomLeft" activeCell="D22" sqref="D22"/>
      <selection pane="bottomRight" activeCell="E17" sqref="E17"/>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28</v>
      </c>
      <c r="B1" s="20" t="s">
        <v>577</v>
      </c>
      <c r="C1" s="20" t="s">
        <v>634</v>
      </c>
      <c r="D1" s="20" t="s">
        <v>649</v>
      </c>
    </row>
    <row r="2" spans="1:4" ht="14.4">
      <c r="A2" s="338" t="s">
        <v>682</v>
      </c>
      <c r="B2" s="280"/>
      <c r="C2" s="280"/>
      <c r="D2" s="280"/>
    </row>
    <row r="3" spans="1:4" ht="14.4">
      <c r="A3" s="338" t="s">
        <v>683</v>
      </c>
      <c r="B3" s="280"/>
      <c r="C3" s="280"/>
      <c r="D3" s="280"/>
    </row>
    <row r="4" spans="1:4" ht="14.4">
      <c r="A4" s="338" t="s">
        <v>684</v>
      </c>
      <c r="B4" s="280"/>
      <c r="C4" s="280"/>
      <c r="D4" s="280"/>
    </row>
    <row r="5" spans="1:4" ht="14.4">
      <c r="A5" s="338" t="s">
        <v>685</v>
      </c>
      <c r="B5" s="280"/>
      <c r="C5" s="280"/>
      <c r="D5" s="280"/>
    </row>
    <row r="6" spans="1:4" ht="14.4">
      <c r="A6" s="338" t="s">
        <v>686</v>
      </c>
      <c r="B6" s="280"/>
      <c r="C6" s="280"/>
      <c r="D6" s="280"/>
    </row>
    <row r="7" spans="1:4" ht="14.4">
      <c r="A7" s="338" t="s">
        <v>13</v>
      </c>
      <c r="B7" s="280"/>
      <c r="C7" s="280"/>
      <c r="D7" s="280"/>
    </row>
    <row r="8" spans="1:4" ht="14.4">
      <c r="A8" s="19" t="s">
        <v>204</v>
      </c>
      <c r="B8" s="68">
        <f>ROUND(SUM(B2:B7),2)</f>
        <v>0</v>
      </c>
      <c r="C8" s="68">
        <f>ROUND(SUM(C2:C7),2)</f>
        <v>0</v>
      </c>
      <c r="D8" s="68">
        <f>ROUND(SUM(D2:D7),2)</f>
        <v>0</v>
      </c>
    </row>
  </sheetData>
  <phoneticPr fontId="1" type="noConversion"/>
  <pageMargins left="0.7" right="0.7" top="0.75" bottom="0.75" header="0.3" footer="0.3"/>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codeName="Sheet331">
    <tabColor rgb="FFFFC000"/>
  </sheetPr>
  <dimension ref="A1:D6"/>
  <sheetViews>
    <sheetView workbookViewId="0">
      <selection activeCell="D19" sqref="D19"/>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28</v>
      </c>
      <c r="B1" s="20" t="s">
        <v>577</v>
      </c>
      <c r="C1" s="20" t="s">
        <v>634</v>
      </c>
      <c r="D1" s="20" t="s">
        <v>689</v>
      </c>
    </row>
    <row r="2" spans="1:4" ht="14.4">
      <c r="A2" s="345" t="s">
        <v>688</v>
      </c>
      <c r="B2" s="280"/>
      <c r="C2" s="280"/>
      <c r="D2" s="280"/>
    </row>
    <row r="3" spans="1:4" ht="14.4">
      <c r="A3" s="345" t="s">
        <v>2330</v>
      </c>
      <c r="B3" s="280"/>
      <c r="C3" s="280"/>
      <c r="D3" s="280"/>
    </row>
    <row r="4" spans="1:4" ht="14.4">
      <c r="A4" s="345" t="s">
        <v>687</v>
      </c>
      <c r="B4" s="280"/>
      <c r="C4" s="280"/>
      <c r="D4" s="280"/>
    </row>
    <row r="5" spans="1:4" ht="14.4">
      <c r="A5" s="345" t="s">
        <v>2333</v>
      </c>
      <c r="B5" s="280"/>
      <c r="C5" s="280"/>
      <c r="D5" s="280"/>
    </row>
    <row r="6" spans="1:4" ht="14.4">
      <c r="A6" s="19" t="s">
        <v>204</v>
      </c>
      <c r="B6" s="68">
        <f>ROUND(SUM(B2:B5),2)</f>
        <v>0</v>
      </c>
      <c r="C6" s="68">
        <f>ROUND(SUM(C2:C5),2)</f>
        <v>0</v>
      </c>
      <c r="D6" s="68">
        <f>ROUND(SUM(D2:D5),2)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分类表!$57:$57</xm:f>
          </x14:formula1>
          <xm:sqref>A2:A5</xm:sqref>
        </x14:dataValidation>
      </x14:dataValidations>
    </ext>
  </extLst>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0284A-3094-4E6B-9C6B-ED8773125BCA}">
  <sheetPr>
    <tabColor rgb="FFFFC000"/>
  </sheetPr>
  <dimension ref="A1:D5"/>
  <sheetViews>
    <sheetView workbookViewId="0">
      <selection activeCell="F24" sqref="F24"/>
    </sheetView>
  </sheetViews>
  <sheetFormatPr defaultRowHeight="13.8"/>
  <cols>
    <col min="3" max="3" width="19.21875" customWidth="1"/>
    <col min="4" max="4" width="23.5546875" bestFit="1" customWidth="1"/>
  </cols>
  <sheetData>
    <row r="1" spans="1:4" ht="14.4">
      <c r="A1" t="s">
        <v>95</v>
      </c>
      <c r="B1" s="20" t="s">
        <v>412</v>
      </c>
      <c r="C1" s="20" t="s">
        <v>634</v>
      </c>
      <c r="D1" t="s">
        <v>4892</v>
      </c>
    </row>
    <row r="2" spans="1:4">
      <c r="D2" s="276"/>
    </row>
    <row r="3" spans="1:4">
      <c r="D3" s="276"/>
    </row>
    <row r="4" spans="1:4">
      <c r="D4" s="276"/>
    </row>
    <row r="5" spans="1:4">
      <c r="A5" t="s">
        <v>262</v>
      </c>
      <c r="B5">
        <f>SUM(B2:B4)</f>
        <v>0</v>
      </c>
      <c r="C5">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2BED9D-D33A-4FFB-9E50-C9CB9D79D3CC}">
          <x14:formula1>
            <xm:f>分类表!$58:$58</xm:f>
          </x14:formula1>
          <xm:sqref>D2:D4</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codeName="Sheet31">
    <tabColor rgb="FF00B0F0"/>
  </sheetPr>
  <dimension ref="A1:N36"/>
  <sheetViews>
    <sheetView workbookViewId="0">
      <pane xSplit="1" ySplit="1" topLeftCell="B2" activePane="bottomRight" state="frozen"/>
      <selection activeCell="G27" sqref="G27"/>
      <selection pane="topRight" activeCell="G27" sqref="G27"/>
      <selection pane="bottomLeft" activeCell="G27" sqref="G27"/>
      <selection pane="bottomRight" activeCell="L8" sqref="L8"/>
    </sheetView>
  </sheetViews>
  <sheetFormatPr defaultRowHeight="13.8"/>
  <cols>
    <col min="1" max="1" width="31.44140625" bestFit="1" customWidth="1"/>
    <col min="2" max="2" width="14.77734375" style="229" bestFit="1" customWidth="1"/>
    <col min="3" max="3" width="14.33203125" style="229" bestFit="1" customWidth="1"/>
    <col min="4" max="6" width="8.21875" style="229" bestFit="1" customWidth="1"/>
    <col min="7" max="7" width="11.109375" style="229" bestFit="1" customWidth="1"/>
    <col min="8" max="8" width="8.21875" style="229" bestFit="1" customWidth="1"/>
    <col min="9" max="9" width="8.21875" style="259" bestFit="1" customWidth="1"/>
    <col min="10" max="11" width="8.21875" style="229" bestFit="1" customWidth="1"/>
    <col min="12" max="12" width="14.77734375" style="229" bestFit="1" customWidth="1"/>
    <col min="13" max="13" width="14.33203125" style="229" bestFit="1" customWidth="1"/>
    <col min="14" max="14" width="6.44140625" bestFit="1" customWidth="1"/>
  </cols>
  <sheetData>
    <row r="1" spans="1:14" ht="36">
      <c r="A1" s="397" t="s">
        <v>2849</v>
      </c>
      <c r="B1" s="398" t="s">
        <v>2850</v>
      </c>
      <c r="C1" s="399" t="s">
        <v>2852</v>
      </c>
      <c r="D1" s="399" t="s">
        <v>2853</v>
      </c>
      <c r="E1" s="399" t="s">
        <v>2854</v>
      </c>
      <c r="F1" s="398" t="s">
        <v>2872</v>
      </c>
      <c r="G1" s="399" t="s">
        <v>2855</v>
      </c>
      <c r="H1" s="399" t="s">
        <v>2856</v>
      </c>
      <c r="I1" s="400" t="s">
        <v>2857</v>
      </c>
      <c r="J1" s="399" t="s">
        <v>2858</v>
      </c>
      <c r="K1" s="398" t="s">
        <v>2873</v>
      </c>
      <c r="L1" s="398" t="s">
        <v>2851</v>
      </c>
      <c r="M1" s="400" t="s">
        <v>2885</v>
      </c>
      <c r="N1" s="413" t="s">
        <v>2351</v>
      </c>
    </row>
    <row r="2" spans="1:14">
      <c r="A2" s="389" t="s">
        <v>1156</v>
      </c>
      <c r="B2" s="392">
        <f>SUM(B3:B13)</f>
        <v>0</v>
      </c>
      <c r="C2" s="392">
        <f t="shared" ref="C2:E2" si="0">SUM(C3:C13)</f>
        <v>0</v>
      </c>
      <c r="D2" s="392">
        <f t="shared" si="0"/>
        <v>0</v>
      </c>
      <c r="E2" s="392">
        <f t="shared" si="0"/>
        <v>0</v>
      </c>
      <c r="F2" s="391">
        <f>SUM(C2:E2)</f>
        <v>0</v>
      </c>
      <c r="G2" s="404"/>
      <c r="H2" s="404"/>
      <c r="I2" s="408"/>
      <c r="J2" s="404"/>
      <c r="K2" s="391">
        <f>SUM(G2:J2)</f>
        <v>0</v>
      </c>
      <c r="L2" s="392">
        <f>B2+F2-K2</f>
        <v>0</v>
      </c>
      <c r="N2" s="411"/>
    </row>
    <row r="3" spans="1:14">
      <c r="A3" s="390" t="s">
        <v>2859</v>
      </c>
      <c r="B3" s="393">
        <f>上期TB!H13</f>
        <v>0</v>
      </c>
      <c r="C3" s="402"/>
      <c r="D3" s="407"/>
      <c r="E3" s="402"/>
      <c r="F3" s="394">
        <f>SUM(C3:E3)</f>
        <v>0</v>
      </c>
      <c r="G3" s="402"/>
      <c r="H3" s="402"/>
      <c r="I3" s="407"/>
      <c r="J3" s="402"/>
      <c r="K3" s="394">
        <f>SUM(G3:J3)</f>
        <v>0</v>
      </c>
      <c r="L3" s="394">
        <f>B3+F3-K3</f>
        <v>0</v>
      </c>
      <c r="M3" s="229">
        <f>本期TB!H13</f>
        <v>0</v>
      </c>
      <c r="N3" s="414">
        <f>L3-M3</f>
        <v>0</v>
      </c>
    </row>
    <row r="4" spans="1:14" s="256" customFormat="1">
      <c r="A4" s="410" t="s">
        <v>2860</v>
      </c>
      <c r="B4" s="407">
        <f>上期TB!H16</f>
        <v>0</v>
      </c>
      <c r="C4" s="406">
        <f>SUM(应收账款明细表!P:P)</f>
        <v>0</v>
      </c>
      <c r="D4" s="406"/>
      <c r="E4" s="406"/>
      <c r="F4" s="409">
        <f>SUM(C4:E4)</f>
        <v>0</v>
      </c>
      <c r="G4" s="407">
        <f>SUM(应收账款明细表!Q:Q)</f>
        <v>0</v>
      </c>
      <c r="H4" s="407">
        <f>SUM(应收账款明细表!R:R)</f>
        <v>0</v>
      </c>
      <c r="I4" s="407"/>
      <c r="J4" s="407"/>
      <c r="K4" s="409">
        <f>SUM(G4:J4)</f>
        <v>0</v>
      </c>
      <c r="L4" s="409">
        <f>B4+F4-K4</f>
        <v>0</v>
      </c>
      <c r="M4" s="259">
        <f>本期TB!H16</f>
        <v>0</v>
      </c>
      <c r="N4" s="414">
        <f t="shared" ref="N4:N13" si="1">L4-M4</f>
        <v>0</v>
      </c>
    </row>
    <row r="5" spans="1:14">
      <c r="A5" s="390" t="s">
        <v>2862</v>
      </c>
      <c r="B5" s="393">
        <f>上期TB!H24</f>
        <v>0</v>
      </c>
      <c r="C5" s="405"/>
      <c r="D5" s="406"/>
      <c r="E5" s="405"/>
      <c r="F5" s="394">
        <f t="shared" ref="F5:F30" si="2">SUM(C5:E5)</f>
        <v>0</v>
      </c>
      <c r="G5" s="402"/>
      <c r="H5" s="402"/>
      <c r="I5" s="407"/>
      <c r="J5" s="402"/>
      <c r="K5" s="394">
        <f t="shared" ref="K5:K30" si="3">SUM(G5:J5)</f>
        <v>0</v>
      </c>
      <c r="L5" s="394">
        <f t="shared" ref="L5:L30" si="4">B5+F5-K5</f>
        <v>0</v>
      </c>
      <c r="M5" s="229">
        <f>本期TB!H24</f>
        <v>0</v>
      </c>
      <c r="N5" s="414">
        <f t="shared" si="1"/>
        <v>0</v>
      </c>
    </row>
    <row r="6" spans="1:14">
      <c r="A6" s="390" t="s">
        <v>2864</v>
      </c>
      <c r="B6" s="393">
        <f>上期TB!H24</f>
        <v>0</v>
      </c>
      <c r="C6" s="402"/>
      <c r="D6" s="407"/>
      <c r="E6" s="402"/>
      <c r="F6" s="394">
        <f t="shared" si="2"/>
        <v>0</v>
      </c>
      <c r="G6" s="402"/>
      <c r="H6" s="402"/>
      <c r="I6" s="407"/>
      <c r="J6" s="402"/>
      <c r="K6" s="394">
        <f t="shared" si="3"/>
        <v>0</v>
      </c>
      <c r="L6" s="394">
        <f t="shared" si="4"/>
        <v>0</v>
      </c>
      <c r="M6" s="229">
        <f>本期TB!H27</f>
        <v>0</v>
      </c>
      <c r="N6" s="414">
        <f t="shared" si="1"/>
        <v>0</v>
      </c>
    </row>
    <row r="7" spans="1:14">
      <c r="A7" s="390" t="s">
        <v>2865</v>
      </c>
      <c r="B7" s="393">
        <f>上期TB!H30</f>
        <v>0</v>
      </c>
      <c r="C7" s="407">
        <f>SUM(其他应收款明细表!P:P)</f>
        <v>0</v>
      </c>
      <c r="D7" s="407"/>
      <c r="E7" s="407"/>
      <c r="F7" s="409">
        <f t="shared" si="2"/>
        <v>0</v>
      </c>
      <c r="G7" s="407">
        <f>SUM(其他应收款明细表!Q:Q)</f>
        <v>0</v>
      </c>
      <c r="H7" s="407"/>
      <c r="I7" s="407"/>
      <c r="J7" s="407"/>
      <c r="K7" s="409">
        <f t="shared" si="3"/>
        <v>0</v>
      </c>
      <c r="L7" s="409">
        <f t="shared" si="4"/>
        <v>0</v>
      </c>
      <c r="M7" s="229">
        <f>本期TB!H30</f>
        <v>0</v>
      </c>
      <c r="N7" s="414">
        <f t="shared" si="1"/>
        <v>0</v>
      </c>
    </row>
    <row r="8" spans="1:14">
      <c r="A8" s="390" t="s">
        <v>924</v>
      </c>
      <c r="B8" s="393">
        <f>上期TB!H61</f>
        <v>0</v>
      </c>
      <c r="C8" s="407">
        <f>SUM(债权投资减值准备明细表!J:J)</f>
        <v>0</v>
      </c>
      <c r="D8" s="407"/>
      <c r="E8" s="407"/>
      <c r="F8" s="394">
        <f t="shared" si="2"/>
        <v>0</v>
      </c>
      <c r="G8" s="549">
        <f>-SUM(债权投资减值准备明细表!K:L)</f>
        <v>0</v>
      </c>
      <c r="H8" s="407">
        <f>-SUM(债权投资减值准备明细表!M:M)</f>
        <v>0</v>
      </c>
      <c r="I8" s="407"/>
      <c r="J8" s="407"/>
      <c r="K8" s="394">
        <f t="shared" si="3"/>
        <v>0</v>
      </c>
      <c r="L8" s="394">
        <f t="shared" si="4"/>
        <v>0</v>
      </c>
      <c r="M8" s="229">
        <f>本期TB!H61</f>
        <v>0</v>
      </c>
      <c r="N8" s="414">
        <f t="shared" si="1"/>
        <v>0</v>
      </c>
    </row>
    <row r="9" spans="1:14">
      <c r="A9" s="390" t="s">
        <v>931</v>
      </c>
      <c r="B9" s="393">
        <f>上期TB!H65</f>
        <v>0</v>
      </c>
      <c r="C9" s="407">
        <f>SUM(其他债权投资减值准备明细表!J:J)</f>
        <v>0</v>
      </c>
      <c r="D9" s="407"/>
      <c r="E9" s="402"/>
      <c r="F9" s="394">
        <f t="shared" si="2"/>
        <v>0</v>
      </c>
      <c r="G9" s="549">
        <f>-SUM(其他债权投资减值准备明细表!K:L)</f>
        <v>0</v>
      </c>
      <c r="H9" s="407">
        <f>-SUM(其他债权投资减值准备明细表!M:M)</f>
        <v>0</v>
      </c>
      <c r="I9" s="407"/>
      <c r="J9" s="402"/>
      <c r="K9" s="394">
        <f t="shared" si="3"/>
        <v>0</v>
      </c>
      <c r="L9" s="394">
        <f>B9+F9-K9</f>
        <v>0</v>
      </c>
      <c r="M9" s="229">
        <f>本期TB!H65</f>
        <v>0</v>
      </c>
      <c r="N9" s="414">
        <f t="shared" si="1"/>
        <v>0</v>
      </c>
    </row>
    <row r="10" spans="1:14">
      <c r="A10" s="390" t="s">
        <v>2867</v>
      </c>
      <c r="B10" s="393">
        <f>上期TB!H52</f>
        <v>0</v>
      </c>
      <c r="C10" s="402"/>
      <c r="D10" s="407"/>
      <c r="E10" s="402"/>
      <c r="F10" s="394">
        <f t="shared" si="2"/>
        <v>0</v>
      </c>
      <c r="G10" s="403"/>
      <c r="H10" s="402"/>
      <c r="I10" s="407"/>
      <c r="J10" s="402"/>
      <c r="K10" s="394">
        <f t="shared" si="3"/>
        <v>0</v>
      </c>
      <c r="L10" s="394">
        <f t="shared" si="4"/>
        <v>0</v>
      </c>
      <c r="M10" s="229">
        <f>本期TB!H52</f>
        <v>0</v>
      </c>
      <c r="N10" s="414">
        <f t="shared" si="1"/>
        <v>0</v>
      </c>
    </row>
    <row r="11" spans="1:14">
      <c r="A11" s="390" t="s">
        <v>2338</v>
      </c>
      <c r="B11" s="393">
        <f>上期TB!H70</f>
        <v>0</v>
      </c>
      <c r="C11" s="402"/>
      <c r="D11" s="407"/>
      <c r="E11" s="402"/>
      <c r="F11" s="394">
        <f t="shared" si="2"/>
        <v>0</v>
      </c>
      <c r="G11" s="403"/>
      <c r="H11" s="402"/>
      <c r="I11" s="407"/>
      <c r="J11" s="402"/>
      <c r="K11" s="394">
        <f t="shared" si="3"/>
        <v>0</v>
      </c>
      <c r="L11" s="394">
        <f t="shared" si="4"/>
        <v>0</v>
      </c>
      <c r="M11" s="229">
        <f>本期TB!H70</f>
        <v>0</v>
      </c>
      <c r="N11" s="414">
        <f t="shared" si="1"/>
        <v>0</v>
      </c>
    </row>
    <row r="12" spans="1:14">
      <c r="A12" s="390" t="s">
        <v>2869</v>
      </c>
      <c r="B12" s="402"/>
      <c r="C12" s="402"/>
      <c r="D12" s="407"/>
      <c r="E12" s="402"/>
      <c r="F12" s="394">
        <f t="shared" si="2"/>
        <v>0</v>
      </c>
      <c r="G12" s="403"/>
      <c r="H12" s="402"/>
      <c r="I12" s="407"/>
      <c r="J12" s="402"/>
      <c r="K12" s="394">
        <f t="shared" si="3"/>
        <v>0</v>
      </c>
      <c r="L12" s="394">
        <f t="shared" si="4"/>
        <v>0</v>
      </c>
      <c r="M12" s="288"/>
      <c r="N12" s="414">
        <f t="shared" si="1"/>
        <v>0</v>
      </c>
    </row>
    <row r="13" spans="1:14">
      <c r="A13" s="390" t="s">
        <v>2871</v>
      </c>
      <c r="B13" s="402"/>
      <c r="C13" s="402"/>
      <c r="D13" s="407"/>
      <c r="E13" s="402"/>
      <c r="F13" s="394">
        <f t="shared" si="2"/>
        <v>0</v>
      </c>
      <c r="G13" s="403"/>
      <c r="H13" s="402"/>
      <c r="I13" s="407"/>
      <c r="J13" s="402"/>
      <c r="K13" s="394">
        <f t="shared" si="3"/>
        <v>0</v>
      </c>
      <c r="L13" s="394">
        <f t="shared" si="4"/>
        <v>0</v>
      </c>
      <c r="M13" s="288"/>
      <c r="N13" s="414">
        <f t="shared" si="1"/>
        <v>0</v>
      </c>
    </row>
    <row r="14" spans="1:14">
      <c r="A14" s="390"/>
      <c r="B14" s="393"/>
      <c r="C14" s="393"/>
      <c r="D14" s="407"/>
      <c r="E14" s="393"/>
      <c r="F14" s="394"/>
      <c r="G14" s="395"/>
      <c r="H14" s="393"/>
      <c r="I14" s="407"/>
      <c r="J14" s="393"/>
      <c r="K14" s="394"/>
      <c r="L14" s="394"/>
      <c r="N14" s="411"/>
    </row>
    <row r="15" spans="1:14">
      <c r="A15" s="396" t="s">
        <v>1159</v>
      </c>
      <c r="B15" s="229">
        <f t="shared" ref="B15:D15" si="5">SUM(B16:B30)</f>
        <v>0</v>
      </c>
      <c r="C15" s="229">
        <f t="shared" si="5"/>
        <v>0</v>
      </c>
      <c r="D15" s="229">
        <f t="shared" si="5"/>
        <v>0</v>
      </c>
      <c r="E15" s="229">
        <f>SUM(E16:E30)</f>
        <v>0</v>
      </c>
      <c r="F15" s="394">
        <f t="shared" si="2"/>
        <v>0</v>
      </c>
      <c r="G15" s="229">
        <f t="shared" ref="G15:J15" si="6">SUM(G16:G30)</f>
        <v>0</v>
      </c>
      <c r="H15" s="229">
        <f t="shared" si="6"/>
        <v>0</v>
      </c>
      <c r="I15" s="229">
        <f t="shared" si="6"/>
        <v>0</v>
      </c>
      <c r="J15" s="229">
        <f t="shared" si="6"/>
        <v>0</v>
      </c>
      <c r="K15" s="394">
        <f t="shared" si="3"/>
        <v>0</v>
      </c>
      <c r="L15" s="229">
        <f>SUM(L16:L30)</f>
        <v>0</v>
      </c>
      <c r="N15" s="411"/>
    </row>
    <row r="16" spans="1:14">
      <c r="A16" t="s">
        <v>903</v>
      </c>
      <c r="B16" s="229">
        <f>上期TB!H49</f>
        <v>0</v>
      </c>
      <c r="C16" s="259">
        <f>SUM(存货明细表!K:K)</f>
        <v>0</v>
      </c>
      <c r="D16" s="259"/>
      <c r="E16" s="288"/>
      <c r="F16" s="394">
        <f t="shared" si="2"/>
        <v>0</v>
      </c>
      <c r="G16" s="259">
        <f>SUM(存货明细表!L:L)</f>
        <v>0</v>
      </c>
      <c r="H16" s="259">
        <f>SUM(存货明细表!M:M)</f>
        <v>0</v>
      </c>
      <c r="J16" s="288"/>
      <c r="K16" s="394">
        <f t="shared" si="3"/>
        <v>0</v>
      </c>
      <c r="L16" s="394">
        <f t="shared" si="4"/>
        <v>0</v>
      </c>
      <c r="M16" s="229">
        <f>本期TB!H49</f>
        <v>0</v>
      </c>
      <c r="N16" s="414">
        <f t="shared" ref="N16:N30" si="7">L16-M16</f>
        <v>0</v>
      </c>
    </row>
    <row r="17" spans="1:14">
      <c r="A17" t="s">
        <v>2339</v>
      </c>
      <c r="B17" s="229">
        <f>预付账款账龄明细!H6</f>
        <v>0</v>
      </c>
      <c r="C17" s="288"/>
      <c r="D17" s="259"/>
      <c r="E17" s="288"/>
      <c r="F17" s="394">
        <f t="shared" si="2"/>
        <v>0</v>
      </c>
      <c r="G17" s="288"/>
      <c r="H17" s="288"/>
      <c r="J17" s="288"/>
      <c r="K17" s="394">
        <f t="shared" si="3"/>
        <v>0</v>
      </c>
      <c r="L17" s="394">
        <f t="shared" si="4"/>
        <v>0</v>
      </c>
      <c r="M17" s="229">
        <f>预付账款账龄明细!D6</f>
        <v>0</v>
      </c>
      <c r="N17" s="414">
        <f t="shared" si="7"/>
        <v>0</v>
      </c>
    </row>
    <row r="18" spans="1:14">
      <c r="A18" t="s">
        <v>2825</v>
      </c>
      <c r="B18" s="288"/>
      <c r="C18" s="288"/>
      <c r="D18" s="259"/>
      <c r="E18" s="288"/>
      <c r="F18" s="394">
        <f t="shared" si="2"/>
        <v>0</v>
      </c>
      <c r="G18" s="288"/>
      <c r="H18" s="288"/>
      <c r="J18" s="288"/>
      <c r="K18" s="394">
        <f t="shared" si="3"/>
        <v>0</v>
      </c>
      <c r="L18" s="394">
        <f t="shared" si="4"/>
        <v>0</v>
      </c>
      <c r="M18" s="288"/>
      <c r="N18" s="414">
        <f t="shared" si="7"/>
        <v>0</v>
      </c>
    </row>
    <row r="19" spans="1:14">
      <c r="A19" t="s">
        <v>2880</v>
      </c>
      <c r="B19" s="259">
        <f>可供出售金融资产情况!F7</f>
        <v>0</v>
      </c>
      <c r="C19" s="259">
        <f>SUM(可供出售权益工具明细表!Q:Q)</f>
        <v>0</v>
      </c>
      <c r="D19" s="259"/>
      <c r="E19" s="259"/>
      <c r="F19" s="409">
        <f t="shared" si="2"/>
        <v>0</v>
      </c>
      <c r="G19" s="259"/>
      <c r="H19" s="259">
        <f>SUM(可供出售权益工具明细表!R:R)</f>
        <v>0</v>
      </c>
      <c r="J19" s="259"/>
      <c r="K19" s="394">
        <f t="shared" si="3"/>
        <v>0</v>
      </c>
      <c r="L19" s="394">
        <f t="shared" si="4"/>
        <v>0</v>
      </c>
      <c r="M19" s="229">
        <f>可供出售金融资产情况!C7</f>
        <v>0</v>
      </c>
      <c r="N19" s="414">
        <f t="shared" si="7"/>
        <v>0</v>
      </c>
    </row>
    <row r="20" spans="1:14">
      <c r="A20" t="s">
        <v>962</v>
      </c>
      <c r="B20" s="229">
        <f>上期TB!H83</f>
        <v>0</v>
      </c>
      <c r="C20" s="259">
        <f>SUMIF(固定资产明细表!I:I,"减值准备本期增加计提",固定资产明细表!F:F)</f>
        <v>0</v>
      </c>
      <c r="D20" s="259"/>
      <c r="E20" s="259">
        <f>SUMIF(固定资产明细表!I:I,"减值准备本期增加其他",固定资产明细表!F:F)</f>
        <v>0</v>
      </c>
      <c r="F20" s="394">
        <f t="shared" si="2"/>
        <v>0</v>
      </c>
      <c r="G20" s="259"/>
      <c r="H20" s="259">
        <f>SUMIF(固定资产明细表!I:I,"减值准备本期减少处置",固定资产明细表!F:F)</f>
        <v>0</v>
      </c>
      <c r="J20" s="259">
        <f>SUMIF(固定资产明细表!I:I,"减值准备本期减少其他",固定资产明细表!F:F)</f>
        <v>0</v>
      </c>
      <c r="K20" s="394">
        <f t="shared" si="3"/>
        <v>0</v>
      </c>
      <c r="L20" s="394">
        <f t="shared" si="4"/>
        <v>0</v>
      </c>
      <c r="M20" s="229">
        <f>本期TB!H83</f>
        <v>0</v>
      </c>
      <c r="N20" s="414">
        <f t="shared" si="7"/>
        <v>0</v>
      </c>
    </row>
    <row r="21" spans="1:14">
      <c r="A21" t="s">
        <v>2875</v>
      </c>
      <c r="B21" s="229">
        <f>上期TB!H73</f>
        <v>0</v>
      </c>
      <c r="C21" s="259">
        <f>长期股权投资分类情况!C6</f>
        <v>0</v>
      </c>
      <c r="D21" s="259"/>
      <c r="E21" s="259"/>
      <c r="F21" s="394">
        <f t="shared" si="2"/>
        <v>0</v>
      </c>
      <c r="G21" s="259"/>
      <c r="H21" s="259">
        <f>长期股权投资分类情况!D6</f>
        <v>0</v>
      </c>
      <c r="J21" s="259"/>
      <c r="K21" s="394">
        <f t="shared" si="3"/>
        <v>0</v>
      </c>
      <c r="L21" s="394">
        <f t="shared" si="4"/>
        <v>0</v>
      </c>
      <c r="M21" s="229">
        <f>本期TB!H73</f>
        <v>0</v>
      </c>
      <c r="N21" s="414">
        <f t="shared" si="7"/>
        <v>0</v>
      </c>
    </row>
    <row r="22" spans="1:14">
      <c r="A22" t="s">
        <v>1641</v>
      </c>
      <c r="B22" s="229">
        <f>上期TB!H79</f>
        <v>0</v>
      </c>
      <c r="C22" s="259">
        <f>SUMIF(成本法核算投资性房地产明细表!I:I,"减值准备本期增加计提",成本法核算投资性房地产明细表!F:F)</f>
        <v>0</v>
      </c>
      <c r="D22" s="259"/>
      <c r="E22" s="259">
        <f>SUMIF(成本法核算投资性房地产明细表!I:I,"减值准备本期增加其他",成本法核算投资性房地产明细表!F:F)</f>
        <v>0</v>
      </c>
      <c r="F22" s="394">
        <f t="shared" ref="F22" si="8">SUM(C22:E22)</f>
        <v>0</v>
      </c>
      <c r="G22" s="259"/>
      <c r="H22" s="259">
        <f>SUMIF(成本法核算投资性房地产明细表!I:I,"减值准备本期减少处置",成本法核算投资性房地产明细表!F:F)</f>
        <v>0</v>
      </c>
      <c r="J22" s="259">
        <f>SUMIF(成本法核算投资性房地产明细表!I:I,"减值准备本期减少其他",成本法核算投资性房地产明细表!F:F)</f>
        <v>0</v>
      </c>
      <c r="K22" s="409">
        <f t="shared" si="3"/>
        <v>0</v>
      </c>
      <c r="L22" s="394">
        <f t="shared" si="4"/>
        <v>0</v>
      </c>
      <c r="M22" s="229">
        <f>本期TB!H79</f>
        <v>0</v>
      </c>
      <c r="N22" s="414">
        <f t="shared" si="7"/>
        <v>0</v>
      </c>
    </row>
    <row r="23" spans="1:14">
      <c r="A23" t="s">
        <v>2341</v>
      </c>
      <c r="B23" s="229">
        <f>在建工程情况!F16</f>
        <v>0</v>
      </c>
      <c r="C23" s="259">
        <f>本期计提在建工程减值准备情况!B13</f>
        <v>0</v>
      </c>
      <c r="D23" s="259"/>
      <c r="E23" s="288"/>
      <c r="F23" s="394">
        <f t="shared" si="2"/>
        <v>0</v>
      </c>
      <c r="G23" s="259"/>
      <c r="H23" s="288"/>
      <c r="J23" s="288"/>
      <c r="K23" s="394">
        <f t="shared" si="3"/>
        <v>0</v>
      </c>
      <c r="L23" s="394">
        <f t="shared" si="4"/>
        <v>0</v>
      </c>
      <c r="M23" s="229">
        <f>在建工程情况!C16</f>
        <v>0</v>
      </c>
      <c r="N23" s="414">
        <f t="shared" si="7"/>
        <v>0</v>
      </c>
    </row>
    <row r="24" spans="1:14">
      <c r="A24" t="s">
        <v>2877</v>
      </c>
      <c r="B24" s="229">
        <f>生产性生物资产!F22</f>
        <v>0</v>
      </c>
      <c r="C24" s="259">
        <f>SUMIF(生产性生物资产明细表!I:I,"减值准备本期增加计提",生产性生物资产明细表!F:F)</f>
        <v>0</v>
      </c>
      <c r="D24" s="259"/>
      <c r="E24" s="259">
        <f>SUMIF(生产性生物资产明细表!I:I,"减值准备本期增加其他",生产性生物资产明细表!F:F)</f>
        <v>0</v>
      </c>
      <c r="F24" s="394">
        <f t="shared" ref="F24" si="9">SUM(C24:E24)</f>
        <v>0</v>
      </c>
      <c r="G24" s="259"/>
      <c r="H24" s="259">
        <f>SUMIF(生产性生物资产明细表!I:I,"减值准备本期减少处置",生产性生物资产明细表!F:F)</f>
        <v>0</v>
      </c>
      <c r="J24" s="259">
        <f>SUMIF(生产性生物资产明细表!I:I,"减值准备本期减少其他",生产性生物资产明细表!F:F)</f>
        <v>0</v>
      </c>
      <c r="K24" s="409">
        <f t="shared" si="3"/>
        <v>0</v>
      </c>
      <c r="L24" s="409">
        <f t="shared" si="4"/>
        <v>0</v>
      </c>
      <c r="M24" s="229">
        <f>生产性生物资产!F29</f>
        <v>0</v>
      </c>
      <c r="N24" s="414">
        <f t="shared" si="7"/>
        <v>0</v>
      </c>
    </row>
    <row r="25" spans="1:14">
      <c r="A25" t="s">
        <v>2879</v>
      </c>
      <c r="B25" s="229">
        <f>油气资产!E22</f>
        <v>0</v>
      </c>
      <c r="C25" s="259">
        <f>SUMIF(油气资产明细表!I:I,"减值准备本期增加计提",油气资产明细表!F:F)</f>
        <v>0</v>
      </c>
      <c r="D25" s="259"/>
      <c r="E25" s="259">
        <f>SUMIF(油气资产明细表!I:I,"减值准备本期增加其他",油气资产明细表!F:F)</f>
        <v>0</v>
      </c>
      <c r="F25" s="394">
        <f t="shared" ref="F25" si="10">SUM(C25:E25)</f>
        <v>0</v>
      </c>
      <c r="G25" s="259"/>
      <c r="H25" s="259">
        <f>SUMIF(油气资产明细表!I:I,"减值准备本期减少处置",油气资产明细表!F:F)</f>
        <v>0</v>
      </c>
      <c r="J25" s="259">
        <f>SUMIF(油气资产明细表!I:I,"减值准备本期减少其他",油气资产明细表!F:F)</f>
        <v>0</v>
      </c>
      <c r="K25" s="394">
        <f t="shared" si="3"/>
        <v>0</v>
      </c>
      <c r="L25" s="394">
        <f t="shared" si="4"/>
        <v>0</v>
      </c>
      <c r="M25" s="229">
        <f>油气资产!E29</f>
        <v>0</v>
      </c>
      <c r="N25" s="414">
        <f t="shared" si="7"/>
        <v>0</v>
      </c>
    </row>
    <row r="26" spans="1:14">
      <c r="A26" t="s">
        <v>2342</v>
      </c>
      <c r="B26" s="229">
        <f>上期TB!H98</f>
        <v>0</v>
      </c>
      <c r="C26" s="259">
        <f>SUMIF(无形资产明细表!I:I,"减值准备本期增加计提",无形资产明细表!F:F)</f>
        <v>0</v>
      </c>
      <c r="D26" s="259"/>
      <c r="E26" s="259">
        <f>SUMIF(无形资产明细表!I:I,"减值准备本期增加其他",无形资产明细表!F:F)</f>
        <v>0</v>
      </c>
      <c r="F26" s="394">
        <f t="shared" ref="F26" si="11">SUM(C26:E26)</f>
        <v>0</v>
      </c>
      <c r="G26" s="259"/>
      <c r="H26" s="259">
        <f>SUMIF(无形资产明细表!I:I,"减值准备本期减少处置",无形资产明细表!F:F)</f>
        <v>0</v>
      </c>
      <c r="J26" s="259">
        <f>SUMIF(无形资产明细表!I:I,"减值准备本期减少其他",无形资产明细表!F:F)</f>
        <v>0</v>
      </c>
      <c r="K26" s="409">
        <f t="shared" si="3"/>
        <v>0</v>
      </c>
      <c r="L26" s="409">
        <f t="shared" si="4"/>
        <v>0</v>
      </c>
      <c r="M26" s="229">
        <f>本期TB!H98</f>
        <v>0</v>
      </c>
      <c r="N26" s="414">
        <f t="shared" si="7"/>
        <v>0</v>
      </c>
    </row>
    <row r="27" spans="1:14">
      <c r="A27" t="s">
        <v>2343</v>
      </c>
      <c r="B27" s="229">
        <f>上期TB!H102</f>
        <v>0</v>
      </c>
      <c r="C27" s="259">
        <f>商誉减值准备!C4</f>
        <v>0</v>
      </c>
      <c r="D27" s="259"/>
      <c r="E27" s="259"/>
      <c r="F27" s="409">
        <f t="shared" si="2"/>
        <v>0</v>
      </c>
      <c r="G27" s="259"/>
      <c r="H27" s="259">
        <f>商誉减值准备!D4</f>
        <v>0</v>
      </c>
      <c r="J27" s="259"/>
      <c r="K27" s="409">
        <f t="shared" si="3"/>
        <v>0</v>
      </c>
      <c r="L27" s="409">
        <f t="shared" si="4"/>
        <v>0</v>
      </c>
      <c r="M27" s="229">
        <f>本期TB!H102</f>
        <v>0</v>
      </c>
      <c r="N27" s="414">
        <f t="shared" si="7"/>
        <v>0</v>
      </c>
    </row>
    <row r="28" spans="1:14">
      <c r="A28" t="s">
        <v>2882</v>
      </c>
      <c r="B28" s="288"/>
      <c r="C28" s="259">
        <f>合同取得成本!E9</f>
        <v>0</v>
      </c>
      <c r="D28" s="259"/>
      <c r="E28" s="288"/>
      <c r="F28" s="394">
        <f t="shared" si="2"/>
        <v>0</v>
      </c>
      <c r="G28" s="288"/>
      <c r="H28" s="288"/>
      <c r="J28" s="288"/>
      <c r="K28" s="394">
        <f t="shared" si="3"/>
        <v>0</v>
      </c>
      <c r="L28" s="394">
        <f t="shared" si="4"/>
        <v>0</v>
      </c>
      <c r="M28" s="288"/>
      <c r="N28" s="414">
        <f t="shared" si="7"/>
        <v>0</v>
      </c>
    </row>
    <row r="29" spans="1:14">
      <c r="A29" t="s">
        <v>2884</v>
      </c>
      <c r="B29" s="288"/>
      <c r="C29" s="288"/>
      <c r="D29" s="259"/>
      <c r="E29" s="288"/>
      <c r="F29" s="394">
        <f t="shared" si="2"/>
        <v>0</v>
      </c>
      <c r="G29" s="288"/>
      <c r="H29" s="288"/>
      <c r="J29" s="288"/>
      <c r="K29" s="394">
        <f t="shared" si="3"/>
        <v>0</v>
      </c>
      <c r="L29" s="394">
        <f t="shared" si="4"/>
        <v>0</v>
      </c>
      <c r="M29" s="288"/>
      <c r="N29" s="414">
        <f t="shared" si="7"/>
        <v>0</v>
      </c>
    </row>
    <row r="30" spans="1:14">
      <c r="A30" t="s">
        <v>2893</v>
      </c>
      <c r="B30" s="229">
        <f>上期TB!H94</f>
        <v>0</v>
      </c>
      <c r="C30" s="229">
        <f>使用权资产!E24</f>
        <v>0</v>
      </c>
      <c r="E30" s="229">
        <f>使用权资产!E25</f>
        <v>0</v>
      </c>
      <c r="F30" s="394">
        <f t="shared" si="2"/>
        <v>0</v>
      </c>
      <c r="H30" s="229">
        <f>使用权资产!E27</f>
        <v>0</v>
      </c>
      <c r="J30" s="229">
        <f>使用权资产!E28</f>
        <v>0</v>
      </c>
      <c r="K30" s="394">
        <f t="shared" si="3"/>
        <v>0</v>
      </c>
      <c r="L30" s="394">
        <f t="shared" si="4"/>
        <v>0</v>
      </c>
      <c r="M30" s="229">
        <f>本期TB!H94</f>
        <v>0</v>
      </c>
      <c r="N30" s="414">
        <f t="shared" si="7"/>
        <v>0</v>
      </c>
    </row>
    <row r="31" spans="1:14">
      <c r="A31" t="s">
        <v>262</v>
      </c>
      <c r="B31" s="229">
        <f>B15+B2</f>
        <v>0</v>
      </c>
      <c r="C31" s="229">
        <f t="shared" ref="C31:L31" si="12">C15+C2</f>
        <v>0</v>
      </c>
      <c r="D31" s="229">
        <f t="shared" si="12"/>
        <v>0</v>
      </c>
      <c r="E31" s="229">
        <f>E15+E2</f>
        <v>0</v>
      </c>
      <c r="F31" s="229">
        <f t="shared" si="12"/>
        <v>0</v>
      </c>
      <c r="G31" s="229">
        <f t="shared" si="12"/>
        <v>0</v>
      </c>
      <c r="H31" s="229">
        <f t="shared" si="12"/>
        <v>0</v>
      </c>
      <c r="I31" s="259">
        <f t="shared" si="12"/>
        <v>0</v>
      </c>
      <c r="J31" s="229">
        <f t="shared" si="12"/>
        <v>0</v>
      </c>
      <c r="K31" s="229">
        <f t="shared" si="12"/>
        <v>0</v>
      </c>
      <c r="L31" s="229">
        <f t="shared" si="12"/>
        <v>0</v>
      </c>
    </row>
    <row r="32" spans="1:14">
      <c r="K32" s="394"/>
      <c r="L32" s="394"/>
    </row>
    <row r="33" spans="1:3">
      <c r="A33" t="s">
        <v>2351</v>
      </c>
    </row>
    <row r="34" spans="1:3">
      <c r="A34" t="s">
        <v>1156</v>
      </c>
      <c r="C34" s="229">
        <f>利润表!B33</f>
        <v>0</v>
      </c>
    </row>
    <row r="35" spans="1:3">
      <c r="A35" t="s">
        <v>1159</v>
      </c>
      <c r="C35" s="229">
        <f>利润表!B34</f>
        <v>0</v>
      </c>
    </row>
    <row r="36" spans="1:3">
      <c r="A36" s="411" t="s">
        <v>2889</v>
      </c>
      <c r="B36" s="412"/>
      <c r="C36" s="412">
        <f>SUM(C34:C35)-C31</f>
        <v>0</v>
      </c>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codeName="Sheet332">
    <tabColor rgb="FFFFC000"/>
  </sheetPr>
  <dimension ref="A1:D5"/>
  <sheetViews>
    <sheetView workbookViewId="0">
      <selection activeCell="A2" sqref="A2"/>
    </sheetView>
  </sheetViews>
  <sheetFormatPr defaultRowHeight="13.8"/>
  <cols>
    <col min="1" max="1" width="30" style="18" customWidth="1"/>
    <col min="2" max="16384" width="8.88671875" style="18"/>
  </cols>
  <sheetData>
    <row r="1" spans="1:4" ht="57.6">
      <c r="A1" s="19" t="s">
        <v>28</v>
      </c>
      <c r="B1" s="20" t="s">
        <v>577</v>
      </c>
      <c r="C1" s="20" t="s">
        <v>634</v>
      </c>
      <c r="D1" s="20" t="s">
        <v>649</v>
      </c>
    </row>
    <row r="2" spans="1:4" ht="14.4">
      <c r="A2" s="345" t="s">
        <v>2334</v>
      </c>
      <c r="B2" s="280"/>
      <c r="C2" s="280"/>
      <c r="D2" s="280"/>
    </row>
    <row r="3" spans="1:4" ht="14.4">
      <c r="A3" s="345" t="s">
        <v>690</v>
      </c>
      <c r="B3" s="280"/>
      <c r="C3" s="280"/>
      <c r="D3" s="280"/>
    </row>
    <row r="4" spans="1:4" ht="14.4">
      <c r="A4" s="345" t="s">
        <v>2335</v>
      </c>
      <c r="B4" s="280"/>
      <c r="C4" s="280"/>
      <c r="D4" s="280"/>
    </row>
    <row r="5" spans="1:4" ht="14.4">
      <c r="A5" s="19" t="s">
        <v>204</v>
      </c>
      <c r="B5" s="68">
        <f>ROUND(SUM(B2:B4),2)</f>
        <v>0</v>
      </c>
      <c r="C5" s="68">
        <f>ROUND(SUM(C2:C4),2)</f>
        <v>0</v>
      </c>
      <c r="D5" s="68">
        <f>ROUND(SUM(D2:D4),2)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分类表!$59:$59</xm:f>
          </x14:formula1>
          <xm:sqref>A2:A4</xm:sqref>
        </x14:dataValidation>
      </x14:dataValidations>
    </ext>
  </extLst>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codeName="Sheet333">
    <tabColor rgb="FFFFC000"/>
  </sheetPr>
  <dimension ref="A1:C5"/>
  <sheetViews>
    <sheetView workbookViewId="0">
      <selection activeCell="C4" sqref="C4"/>
    </sheetView>
  </sheetViews>
  <sheetFormatPr defaultRowHeight="13.8"/>
  <cols>
    <col min="1" max="1" width="20.33203125" style="18" customWidth="1"/>
    <col min="2" max="2" width="20.33203125" style="1" customWidth="1"/>
    <col min="3" max="3" width="20.33203125" style="18" customWidth="1"/>
    <col min="4" max="16384" width="8.88671875" style="18"/>
  </cols>
  <sheetData>
    <row r="1" spans="1:3" ht="14.4">
      <c r="A1" s="31" t="s">
        <v>28</v>
      </c>
      <c r="B1" s="153" t="s">
        <v>577</v>
      </c>
      <c r="C1" s="20" t="s">
        <v>634</v>
      </c>
    </row>
    <row r="2" spans="1:3" ht="14.4">
      <c r="A2" s="377" t="s">
        <v>691</v>
      </c>
      <c r="B2" s="267">
        <f>ROUND(当期所得税费用计算表!B50,2)</f>
        <v>0</v>
      </c>
      <c r="C2" s="280"/>
    </row>
    <row r="3" spans="1:3" ht="14.4">
      <c r="A3" s="377" t="s">
        <v>692</v>
      </c>
      <c r="B3" s="267"/>
      <c r="C3" s="280"/>
    </row>
    <row r="4" spans="1:3" ht="14.4">
      <c r="A4" s="377" t="s">
        <v>202</v>
      </c>
      <c r="B4" s="267"/>
      <c r="C4" s="280"/>
    </row>
    <row r="5" spans="1:3" ht="14.4">
      <c r="A5" s="31" t="s">
        <v>204</v>
      </c>
      <c r="B5" s="68">
        <f>ROUND(SUM(B2:B4),2)</f>
        <v>0</v>
      </c>
      <c r="C5" s="21">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分类表!$60:$60</xm:f>
          </x14:formula1>
          <xm:sqref>A2:A4</xm:sqref>
        </x14:dataValidation>
      </x14:dataValidations>
    </ext>
  </extLst>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codeName="Sheet334">
    <tabColor rgb="FFFFC000"/>
  </sheetPr>
  <dimension ref="A1:C12"/>
  <sheetViews>
    <sheetView workbookViewId="0">
      <selection activeCell="B18" sqref="B18"/>
    </sheetView>
  </sheetViews>
  <sheetFormatPr defaultRowHeight="13.8"/>
  <cols>
    <col min="1" max="1" width="65.21875" style="18" customWidth="1"/>
    <col min="2" max="4" width="30.77734375" style="18" customWidth="1"/>
    <col min="5" max="16384" width="8.88671875" style="18"/>
  </cols>
  <sheetData>
    <row r="1" spans="1:3" ht="14.4">
      <c r="A1" s="31" t="s">
        <v>28</v>
      </c>
      <c r="B1" s="20" t="s">
        <v>577</v>
      </c>
      <c r="C1" s="20" t="s">
        <v>634</v>
      </c>
    </row>
    <row r="2" spans="1:3" ht="14.4">
      <c r="A2" s="32" t="s">
        <v>693</v>
      </c>
      <c r="B2" s="293">
        <f>ROUND(利润表!B40,2)</f>
        <v>0</v>
      </c>
      <c r="C2" s="293">
        <f>ROUND(利润表!C40,2)</f>
        <v>0</v>
      </c>
    </row>
    <row r="3" spans="1:3" ht="14.4">
      <c r="A3" s="32" t="s">
        <v>2842</v>
      </c>
      <c r="B3" s="293">
        <f>ROUND(B2*所得税项目计算!F2,2)</f>
        <v>0</v>
      </c>
      <c r="C3" s="293">
        <f>ROUND(C2*所得税项目计算!F2,2)</f>
        <v>0</v>
      </c>
    </row>
    <row r="4" spans="1:3" ht="14.4">
      <c r="A4" s="32" t="s">
        <v>4590</v>
      </c>
      <c r="B4" s="293"/>
      <c r="C4" s="293"/>
    </row>
    <row r="5" spans="1:3" ht="14.4">
      <c r="A5" s="32" t="s">
        <v>694</v>
      </c>
      <c r="B5" s="293">
        <f>ROUND(所得税费用!B4,2)</f>
        <v>0</v>
      </c>
      <c r="C5" s="267"/>
    </row>
    <row r="6" spans="1:3" ht="14.4">
      <c r="A6" s="32" t="s">
        <v>695</v>
      </c>
      <c r="B6" s="293">
        <f>ROUND(-SUMIF(当期所得税费用计算表!D:D,会计利润与所得税费用调整过程!A6,当期所得税费用计算表!B:B)*所得税项目计算!F2,2)</f>
        <v>0</v>
      </c>
      <c r="C6" s="267"/>
    </row>
    <row r="7" spans="1:3" ht="14.4">
      <c r="A7" s="32" t="s">
        <v>696</v>
      </c>
      <c r="B7" s="293">
        <f>ROUND(SUMIF(当期所得税费用计算表!D:D,会计利润与所得税费用调整过程!A7,当期所得税费用计算表!B:B)*所得税项目计算!F2,2)</f>
        <v>0</v>
      </c>
      <c r="C7" s="267"/>
    </row>
    <row r="8" spans="1:3" ht="14.4">
      <c r="A8" s="32" t="s">
        <v>2848</v>
      </c>
      <c r="B8" s="293">
        <f>ROUND(SUMIF(当期所得税费用计算表!D:D,会计利润与所得税费用调整过程!A8,当期所得税费用计算表!B:B)*所得税项目计算!F2,2)</f>
        <v>0</v>
      </c>
      <c r="C8" s="267"/>
    </row>
    <row r="9" spans="1:3" ht="14.4">
      <c r="A9" s="32" t="s">
        <v>3055</v>
      </c>
      <c r="B9" s="293">
        <f>ROUND(SUM(可抵扣暂时性差异明细表!O:O)*所得税项目计算!F2,2)</f>
        <v>0</v>
      </c>
      <c r="C9" s="267"/>
    </row>
    <row r="10" spans="1:3" ht="14.4">
      <c r="A10" s="32" t="s">
        <v>697</v>
      </c>
      <c r="B10" s="293">
        <f>ROUND(SUM(可抵扣暂时性差异明细表!J:J)*所得税项目计算!F2,2)</f>
        <v>0</v>
      </c>
      <c r="C10" s="267"/>
    </row>
    <row r="11" spans="1:3" ht="14.4">
      <c r="A11" s="32" t="s">
        <v>4591</v>
      </c>
      <c r="B11" s="293"/>
      <c r="C11" s="267"/>
    </row>
    <row r="12" spans="1:3" ht="14.4">
      <c r="A12" s="32" t="s">
        <v>698</v>
      </c>
      <c r="B12" s="293">
        <f>ROUND(SUM(B3:B11),2)</f>
        <v>0</v>
      </c>
      <c r="C12" s="68">
        <f>ROUND(SUM(C3:C11),2)</f>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1A8B-19E9-4EB3-A28B-CB65173F07AD}">
  <sheetPr codeName="Sheet335"/>
  <dimension ref="A1:X47"/>
  <sheetViews>
    <sheetView workbookViewId="0">
      <pane xSplit="2" ySplit="1" topLeftCell="C5" activePane="bottomRight" state="frozen"/>
      <selection activeCell="D22" sqref="D22"/>
      <selection pane="topRight" activeCell="D22" sqref="D22"/>
      <selection pane="bottomLeft" activeCell="D22" sqref="D22"/>
      <selection pane="bottomRight" activeCell="B31" sqref="B31"/>
    </sheetView>
  </sheetViews>
  <sheetFormatPr defaultColWidth="12.109375" defaultRowHeight="13.8"/>
  <cols>
    <col min="1" max="1" width="34.88671875" style="229" bestFit="1" customWidth="1"/>
    <col min="2" max="2" width="70" style="229" bestFit="1" customWidth="1"/>
    <col min="3" max="3" width="20" style="229" bestFit="1" customWidth="1"/>
    <col min="4" max="4" width="11.21875" style="229" bestFit="1" customWidth="1"/>
    <col min="5" max="15" width="12.109375" style="229"/>
    <col min="16" max="16" width="14.33203125" style="229" bestFit="1" customWidth="1"/>
    <col min="17" max="17" width="11.21875" style="229" bestFit="1" customWidth="1"/>
    <col min="18" max="18" width="13.6640625" style="229" customWidth="1"/>
    <col min="19" max="20" width="12.109375" style="229"/>
    <col min="21" max="24" width="14.33203125" style="229" bestFit="1" customWidth="1"/>
    <col min="25" max="16384" width="12.109375" style="229"/>
  </cols>
  <sheetData>
    <row r="1" spans="1:24" s="519" customFormat="1" ht="27.6">
      <c r="A1" s="519" t="s">
        <v>3888</v>
      </c>
      <c r="B1" s="519" t="s">
        <v>95</v>
      </c>
      <c r="C1" s="519" t="s">
        <v>3046</v>
      </c>
      <c r="D1" s="519" t="s">
        <v>3063</v>
      </c>
      <c r="E1" s="519" t="s">
        <v>3062</v>
      </c>
      <c r="F1" s="519" t="s">
        <v>3045</v>
      </c>
      <c r="G1" s="519" t="s">
        <v>3061</v>
      </c>
      <c r="H1" s="519" t="s">
        <v>3586</v>
      </c>
      <c r="I1" s="519" t="s">
        <v>3587</v>
      </c>
      <c r="J1" s="519" t="s">
        <v>3060</v>
      </c>
      <c r="K1" s="519" t="s">
        <v>3047</v>
      </c>
      <c r="L1" s="519" t="s">
        <v>3059</v>
      </c>
      <c r="M1" s="519" t="s">
        <v>3588</v>
      </c>
      <c r="N1" s="519" t="s">
        <v>3589</v>
      </c>
      <c r="O1" s="519" t="s">
        <v>3058</v>
      </c>
      <c r="P1" s="519" t="s">
        <v>3044</v>
      </c>
      <c r="Q1" s="519" t="s">
        <v>3056</v>
      </c>
      <c r="R1" s="519" t="s">
        <v>3057</v>
      </c>
      <c r="S1" s="519" t="s">
        <v>483</v>
      </c>
      <c r="T1" s="519" t="s">
        <v>3064</v>
      </c>
      <c r="U1" s="519" t="s">
        <v>3473</v>
      </c>
      <c r="V1" s="519" t="s">
        <v>3899</v>
      </c>
      <c r="W1" s="519" t="s">
        <v>3472</v>
      </c>
      <c r="X1" s="519" t="s">
        <v>3900</v>
      </c>
    </row>
    <row r="2" spans="1:24">
      <c r="A2" s="229" t="str">
        <f>IF(OR(ABS(C2)&gt;0,ABS(F2)&gt;0,ABS(K2)&gt;0,ABS(P2)&gt;0),基础信息!$B$1,"")</f>
        <v/>
      </c>
      <c r="B2" s="547" t="s">
        <v>57</v>
      </c>
      <c r="C2" s="229">
        <f>SUM(D2:E2)</f>
        <v>0</v>
      </c>
      <c r="D2" s="288"/>
      <c r="E2" s="288"/>
      <c r="F2" s="259">
        <f>G2+J2</f>
        <v>0</v>
      </c>
      <c r="G2" s="259">
        <f>SUM(H2:I2)</f>
        <v>0</v>
      </c>
      <c r="H2" s="288"/>
      <c r="I2" s="288"/>
      <c r="J2" s="288"/>
      <c r="K2" s="229">
        <f>L2+O2</f>
        <v>0</v>
      </c>
      <c r="L2" s="259">
        <f>SUM(M2:N2)</f>
        <v>0</v>
      </c>
      <c r="M2" s="288"/>
      <c r="N2" s="288"/>
      <c r="O2" s="288"/>
      <c r="P2" s="229">
        <f>C2+F2-K2</f>
        <v>0</v>
      </c>
      <c r="Q2" s="229">
        <f>D2+G2-L2</f>
        <v>0</v>
      </c>
      <c r="R2" s="229">
        <f>E2+J2-O2</f>
        <v>0</v>
      </c>
      <c r="S2" s="229">
        <f>IF(D2&gt;0,D2*所得税项目计算!$F$2,0)</f>
        <v>0</v>
      </c>
      <c r="T2" s="229">
        <f>IF(Q2&gt;0,Q2*所得税项目计算!$F$2,0)</f>
        <v>0</v>
      </c>
      <c r="U2" s="229">
        <f>IFERROR(VLOOKUP(B2,资产减值损失核对!A:L,2,0),"")</f>
        <v>0</v>
      </c>
      <c r="V2" s="229">
        <f t="shared" ref="V2:V47" si="0">IF(U2="","",U2-C2)</f>
        <v>0</v>
      </c>
      <c r="W2" s="229">
        <f>IFERROR(VLOOKUP(B2,资产减值损失核对!A:L,12,0),"")</f>
        <v>0</v>
      </c>
      <c r="X2" s="229">
        <f t="shared" ref="X2:X47" si="1">IF(W2="","",W2-P2)</f>
        <v>0</v>
      </c>
    </row>
    <row r="3" spans="1:24">
      <c r="A3" s="229" t="str">
        <f>IF(OR(ABS(C3)&gt;0,ABS(F3)&gt;0,ABS(K3)&gt;0,ABS(P3)&gt;0),基础信息!$B$1,"")</f>
        <v/>
      </c>
      <c r="B3" s="547" t="s">
        <v>58</v>
      </c>
      <c r="C3" s="229">
        <f t="shared" ref="C3:C36" si="2">SUM(D3:E3)</f>
        <v>0</v>
      </c>
      <c r="D3" s="288"/>
      <c r="E3" s="288"/>
      <c r="F3" s="259">
        <f t="shared" ref="F3:F36" si="3">G3+J3</f>
        <v>0</v>
      </c>
      <c r="G3" s="259">
        <f t="shared" ref="G3:G36" si="4">SUM(H3:I3)</f>
        <v>0</v>
      </c>
      <c r="H3" s="288"/>
      <c r="I3" s="288"/>
      <c r="J3" s="288"/>
      <c r="K3" s="229">
        <f t="shared" ref="K3:K36" si="5">L3+O3</f>
        <v>0</v>
      </c>
      <c r="L3" s="259">
        <f t="shared" ref="L3:L36" si="6">SUM(M3:N3)</f>
        <v>0</v>
      </c>
      <c r="M3" s="288"/>
      <c r="N3" s="288"/>
      <c r="O3" s="288"/>
      <c r="P3" s="229">
        <f t="shared" ref="P3:Q36" si="7">C3+F3-K3</f>
        <v>0</v>
      </c>
      <c r="Q3" s="229">
        <f t="shared" si="7"/>
        <v>0</v>
      </c>
      <c r="R3" s="229">
        <f t="shared" ref="R3:R36" si="8">E3+J3-O3</f>
        <v>0</v>
      </c>
      <c r="S3" s="229">
        <f>IF(D3&gt;0,D3*所得税项目计算!$F$2,0)</f>
        <v>0</v>
      </c>
      <c r="T3" s="229">
        <f>IF(Q3&gt;0,Q3*所得税项目计算!$F$2,0)</f>
        <v>0</v>
      </c>
      <c r="U3" s="229">
        <f>IFERROR(VLOOKUP(B3,资产减值损失核对!A:L,2,0),"")</f>
        <v>0</v>
      </c>
      <c r="V3" s="229">
        <f t="shared" si="0"/>
        <v>0</v>
      </c>
      <c r="W3" s="229">
        <f>IFERROR(VLOOKUP(B3,资产减值损失核对!A:L,12,0),"")</f>
        <v>0</v>
      </c>
      <c r="X3" s="229">
        <f t="shared" si="1"/>
        <v>0</v>
      </c>
    </row>
    <row r="4" spans="1:24">
      <c r="A4" s="229" t="str">
        <f>IF(OR(ABS(C4)&gt;0,ABS(F4)&gt;0,ABS(K4)&gt;0,ABS(P4)&gt;0),基础信息!$B$1,"")</f>
        <v/>
      </c>
      <c r="B4" s="547" t="s">
        <v>2861</v>
      </c>
      <c r="C4" s="229">
        <f t="shared" si="2"/>
        <v>0</v>
      </c>
      <c r="D4" s="288"/>
      <c r="E4" s="288"/>
      <c r="F4" s="259">
        <f t="shared" si="3"/>
        <v>0</v>
      </c>
      <c r="G4" s="259">
        <f t="shared" si="4"/>
        <v>0</v>
      </c>
      <c r="H4" s="288"/>
      <c r="I4" s="288"/>
      <c r="J4" s="288"/>
      <c r="K4" s="229">
        <f t="shared" si="5"/>
        <v>0</v>
      </c>
      <c r="L4" s="259">
        <f t="shared" si="6"/>
        <v>0</v>
      </c>
      <c r="M4" s="288"/>
      <c r="N4" s="288"/>
      <c r="O4" s="288"/>
      <c r="P4" s="229">
        <f t="shared" si="7"/>
        <v>0</v>
      </c>
      <c r="Q4" s="229">
        <f t="shared" si="7"/>
        <v>0</v>
      </c>
      <c r="R4" s="229">
        <f t="shared" si="8"/>
        <v>0</v>
      </c>
      <c r="S4" s="229">
        <f>IF(D4&gt;0,D4*所得税项目计算!$F$2,0)</f>
        <v>0</v>
      </c>
      <c r="T4" s="229">
        <f>IF(Q4&gt;0,Q4*所得税项目计算!$F$2,0)</f>
        <v>0</v>
      </c>
      <c r="U4" s="229">
        <f>IFERROR(VLOOKUP(B4,资产减值损失核对!A:L,2,0),"")</f>
        <v>0</v>
      </c>
      <c r="V4" s="229">
        <f t="shared" si="0"/>
        <v>0</v>
      </c>
      <c r="W4" s="229">
        <f>IFERROR(VLOOKUP(B4,资产减值损失核对!A:L,12,0),"")</f>
        <v>0</v>
      </c>
      <c r="X4" s="229">
        <f t="shared" si="1"/>
        <v>0</v>
      </c>
    </row>
    <row r="5" spans="1:24">
      <c r="A5" s="229" t="str">
        <f>IF(OR(ABS(C5)&gt;0,ABS(F5)&gt;0,ABS(K5)&gt;0,ABS(P5)&gt;0),基础信息!$B$1,"")</f>
        <v/>
      </c>
      <c r="B5" s="547" t="s">
        <v>2863</v>
      </c>
      <c r="C5" s="229">
        <f t="shared" si="2"/>
        <v>0</v>
      </c>
      <c r="D5" s="288"/>
      <c r="E5" s="288"/>
      <c r="F5" s="259">
        <f t="shared" si="3"/>
        <v>0</v>
      </c>
      <c r="G5" s="259">
        <f t="shared" si="4"/>
        <v>0</v>
      </c>
      <c r="H5" s="288"/>
      <c r="I5" s="288"/>
      <c r="J5" s="288"/>
      <c r="K5" s="229">
        <f t="shared" si="5"/>
        <v>0</v>
      </c>
      <c r="L5" s="259">
        <f t="shared" si="6"/>
        <v>0</v>
      </c>
      <c r="M5" s="288"/>
      <c r="N5" s="288"/>
      <c r="O5" s="288"/>
      <c r="P5" s="229">
        <f t="shared" si="7"/>
        <v>0</v>
      </c>
      <c r="Q5" s="229">
        <f t="shared" si="7"/>
        <v>0</v>
      </c>
      <c r="R5" s="229">
        <f t="shared" si="8"/>
        <v>0</v>
      </c>
      <c r="S5" s="229">
        <f>IF(D5&gt;0,D5*所得税项目计算!$F$2,0)</f>
        <v>0</v>
      </c>
      <c r="T5" s="229">
        <f>IF(Q5&gt;0,Q5*所得税项目计算!$F$2,0)</f>
        <v>0</v>
      </c>
      <c r="U5" s="229">
        <f>IFERROR(VLOOKUP(B5,资产减值损失核对!A:L,2,0),"")</f>
        <v>0</v>
      </c>
      <c r="V5" s="229">
        <f t="shared" si="0"/>
        <v>0</v>
      </c>
      <c r="W5" s="229">
        <f>IFERROR(VLOOKUP(B5,资产减值损失核对!A:L,12,0),"")</f>
        <v>0</v>
      </c>
      <c r="X5" s="229">
        <f t="shared" si="1"/>
        <v>0</v>
      </c>
    </row>
    <row r="6" spans="1:24">
      <c r="A6" s="229" t="str">
        <f>IF(OR(ABS(C6)&gt;0,ABS(F6)&gt;0,ABS(K6)&gt;0,ABS(P6)&gt;0),基础信息!$B$1,"")</f>
        <v/>
      </c>
      <c r="B6" s="547" t="s">
        <v>59</v>
      </c>
      <c r="C6" s="229">
        <f t="shared" si="2"/>
        <v>0</v>
      </c>
      <c r="D6" s="288"/>
      <c r="E6" s="288"/>
      <c r="F6" s="259">
        <f t="shared" si="3"/>
        <v>0</v>
      </c>
      <c r="G6" s="259">
        <f t="shared" si="4"/>
        <v>0</v>
      </c>
      <c r="H6" s="288"/>
      <c r="I6" s="288"/>
      <c r="J6" s="288"/>
      <c r="K6" s="229">
        <f t="shared" si="5"/>
        <v>0</v>
      </c>
      <c r="L6" s="259">
        <f t="shared" si="6"/>
        <v>0</v>
      </c>
      <c r="M6" s="288"/>
      <c r="N6" s="288"/>
      <c r="O6" s="288"/>
      <c r="P6" s="229">
        <f t="shared" si="7"/>
        <v>0</v>
      </c>
      <c r="Q6" s="229">
        <f t="shared" si="7"/>
        <v>0</v>
      </c>
      <c r="R6" s="229">
        <f t="shared" si="8"/>
        <v>0</v>
      </c>
      <c r="S6" s="229">
        <f>IF(D6&gt;0,D6*所得税项目计算!$F$2,0)</f>
        <v>0</v>
      </c>
      <c r="T6" s="229">
        <f>IF(Q6&gt;0,Q6*所得税项目计算!$F$2,0)</f>
        <v>0</v>
      </c>
      <c r="U6" s="229">
        <f>IFERROR(VLOOKUP(B6,资产减值损失核对!A:L,2,0),"")</f>
        <v>0</v>
      </c>
      <c r="V6" s="229">
        <f t="shared" si="0"/>
        <v>0</v>
      </c>
      <c r="W6" s="229">
        <f>IFERROR(VLOOKUP(B6,资产减值损失核对!A:L,12,0),"")</f>
        <v>0</v>
      </c>
      <c r="X6" s="229">
        <f t="shared" si="1"/>
        <v>0</v>
      </c>
    </row>
    <row r="7" spans="1:24">
      <c r="A7" s="229" t="str">
        <f>IF(OR(ABS(C7)&gt;0,ABS(F7)&gt;0,ABS(K7)&gt;0,ABS(P7)&gt;0),基础信息!$B$1,"")</f>
        <v/>
      </c>
      <c r="B7" s="547" t="s">
        <v>61</v>
      </c>
      <c r="C7" s="229">
        <f t="shared" si="2"/>
        <v>0</v>
      </c>
      <c r="D7" s="288"/>
      <c r="E7" s="288"/>
      <c r="F7" s="259">
        <f t="shared" si="3"/>
        <v>0</v>
      </c>
      <c r="G7" s="259">
        <f t="shared" si="4"/>
        <v>0</v>
      </c>
      <c r="H7" s="288"/>
      <c r="I7" s="288"/>
      <c r="J7" s="288"/>
      <c r="K7" s="229">
        <f t="shared" si="5"/>
        <v>0</v>
      </c>
      <c r="L7" s="259">
        <f t="shared" si="6"/>
        <v>0</v>
      </c>
      <c r="M7" s="288"/>
      <c r="N7" s="288"/>
      <c r="O7" s="288"/>
      <c r="P7" s="229">
        <f t="shared" si="7"/>
        <v>0</v>
      </c>
      <c r="Q7" s="229">
        <f t="shared" si="7"/>
        <v>0</v>
      </c>
      <c r="R7" s="229">
        <f t="shared" si="8"/>
        <v>0</v>
      </c>
      <c r="S7" s="229">
        <f>IF(D7&gt;0,D7*所得税项目计算!$F$2,0)</f>
        <v>0</v>
      </c>
      <c r="T7" s="229">
        <f>IF(Q7&gt;0,Q7*所得税项目计算!$F$2,0)</f>
        <v>0</v>
      </c>
      <c r="U7" s="229">
        <f>IFERROR(VLOOKUP(B7,资产减值损失核对!A:L,2,0),"")</f>
        <v>0</v>
      </c>
      <c r="V7" s="229">
        <f t="shared" si="0"/>
        <v>0</v>
      </c>
      <c r="W7" s="229">
        <f>IFERROR(VLOOKUP(B7,资产减值损失核对!A:L,12,0),"")</f>
        <v>0</v>
      </c>
      <c r="X7" s="229">
        <f t="shared" si="1"/>
        <v>0</v>
      </c>
    </row>
    <row r="8" spans="1:24">
      <c r="A8" s="229" t="str">
        <f>IF(OR(ABS(C8)&gt;0,ABS(F8)&gt;0,ABS(K8)&gt;0,ABS(P8)&gt;0),基础信息!$B$1,"")</f>
        <v/>
      </c>
      <c r="B8" s="547" t="s">
        <v>64</v>
      </c>
      <c r="C8" s="229">
        <f t="shared" si="2"/>
        <v>0</v>
      </c>
      <c r="D8" s="288"/>
      <c r="E8" s="288"/>
      <c r="F8" s="259">
        <f t="shared" si="3"/>
        <v>0</v>
      </c>
      <c r="G8" s="259">
        <f t="shared" si="4"/>
        <v>0</v>
      </c>
      <c r="H8" s="288"/>
      <c r="I8" s="288"/>
      <c r="J8" s="288"/>
      <c r="K8" s="229">
        <f t="shared" si="5"/>
        <v>0</v>
      </c>
      <c r="L8" s="259">
        <f t="shared" si="6"/>
        <v>0</v>
      </c>
      <c r="M8" s="288"/>
      <c r="N8" s="288"/>
      <c r="O8" s="288"/>
      <c r="P8" s="229">
        <f t="shared" si="7"/>
        <v>0</v>
      </c>
      <c r="Q8" s="229">
        <f t="shared" si="7"/>
        <v>0</v>
      </c>
      <c r="R8" s="229">
        <f t="shared" si="8"/>
        <v>0</v>
      </c>
      <c r="S8" s="229">
        <f>IF(D8&gt;0,D8*所得税项目计算!$F$2,0)</f>
        <v>0</v>
      </c>
      <c r="T8" s="229">
        <f>IF(Q8&gt;0,Q8*所得税项目计算!$F$2,0)</f>
        <v>0</v>
      </c>
      <c r="U8" s="229">
        <f>IFERROR(VLOOKUP(B8,资产减值损失核对!A:L,2,0),"")</f>
        <v>0</v>
      </c>
      <c r="V8" s="229">
        <f t="shared" si="0"/>
        <v>0</v>
      </c>
      <c r="W8" s="229">
        <f>IFERROR(VLOOKUP(B8,资产减值损失核对!A:L,12,0),"")</f>
        <v>0</v>
      </c>
      <c r="X8" s="229">
        <f t="shared" si="1"/>
        <v>0</v>
      </c>
    </row>
    <row r="9" spans="1:24">
      <c r="A9" s="229" t="str">
        <f>IF(OR(ABS(C9)&gt;0,ABS(F9)&gt;0,ABS(K9)&gt;0,ABS(P9)&gt;0),基础信息!$B$1,"")</f>
        <v/>
      </c>
      <c r="B9" s="547" t="s">
        <v>2866</v>
      </c>
      <c r="C9" s="229">
        <f t="shared" si="2"/>
        <v>0</v>
      </c>
      <c r="D9" s="288"/>
      <c r="E9" s="288"/>
      <c r="F9" s="259">
        <f t="shared" si="3"/>
        <v>0</v>
      </c>
      <c r="G9" s="259">
        <f t="shared" si="4"/>
        <v>0</v>
      </c>
      <c r="H9" s="288"/>
      <c r="I9" s="288"/>
      <c r="J9" s="288"/>
      <c r="K9" s="229">
        <f t="shared" si="5"/>
        <v>0</v>
      </c>
      <c r="L9" s="259">
        <f t="shared" si="6"/>
        <v>0</v>
      </c>
      <c r="M9" s="288"/>
      <c r="N9" s="288"/>
      <c r="O9" s="288"/>
      <c r="P9" s="229">
        <f t="shared" si="7"/>
        <v>0</v>
      </c>
      <c r="Q9" s="229">
        <f t="shared" si="7"/>
        <v>0</v>
      </c>
      <c r="R9" s="229">
        <f t="shared" si="8"/>
        <v>0</v>
      </c>
      <c r="S9" s="229">
        <f>IF(D9&gt;0,D9*所得税项目计算!$F$2,0)</f>
        <v>0</v>
      </c>
      <c r="T9" s="229">
        <f>IF(Q9&gt;0,Q9*所得税项目计算!$F$2,0)</f>
        <v>0</v>
      </c>
      <c r="U9" s="229">
        <f>IFERROR(VLOOKUP(B9,资产减值损失核对!A:L,2,0),"")</f>
        <v>0</v>
      </c>
      <c r="V9" s="229">
        <f t="shared" si="0"/>
        <v>0</v>
      </c>
      <c r="W9" s="229">
        <f>IFERROR(VLOOKUP(B9,资产减值损失核对!A:L,12,0),"")</f>
        <v>0</v>
      </c>
      <c r="X9" s="229">
        <f t="shared" si="1"/>
        <v>0</v>
      </c>
    </row>
    <row r="10" spans="1:24">
      <c r="A10" s="229" t="str">
        <f>IF(OR(ABS(C10)&gt;0,ABS(F10)&gt;0,ABS(K10)&gt;0,ABS(P10)&gt;0),基础信息!$B$1,"")</f>
        <v/>
      </c>
      <c r="B10" s="547" t="s">
        <v>62</v>
      </c>
      <c r="C10" s="229">
        <f t="shared" si="2"/>
        <v>0</v>
      </c>
      <c r="D10" s="288"/>
      <c r="E10" s="288"/>
      <c r="F10" s="259">
        <f t="shared" si="3"/>
        <v>0</v>
      </c>
      <c r="G10" s="259">
        <f t="shared" si="4"/>
        <v>0</v>
      </c>
      <c r="H10" s="288"/>
      <c r="I10" s="288"/>
      <c r="J10" s="288"/>
      <c r="K10" s="229">
        <f t="shared" si="5"/>
        <v>0</v>
      </c>
      <c r="L10" s="259">
        <f t="shared" si="6"/>
        <v>0</v>
      </c>
      <c r="M10" s="288"/>
      <c r="N10" s="288"/>
      <c r="O10" s="288"/>
      <c r="P10" s="229">
        <f t="shared" si="7"/>
        <v>0</v>
      </c>
      <c r="Q10" s="229">
        <f t="shared" si="7"/>
        <v>0</v>
      </c>
      <c r="R10" s="229">
        <f t="shared" si="8"/>
        <v>0</v>
      </c>
      <c r="S10" s="229">
        <f>IF(D10&gt;0,D10*所得税项目计算!$F$2,0)</f>
        <v>0</v>
      </c>
      <c r="T10" s="229">
        <f>IF(Q10&gt;0,Q10*所得税项目计算!$F$2,0)</f>
        <v>0</v>
      </c>
      <c r="U10" s="229">
        <f>IFERROR(VLOOKUP(B10,资产减值损失核对!A:L,2,0),"")</f>
        <v>0</v>
      </c>
      <c r="V10" s="229">
        <f t="shared" si="0"/>
        <v>0</v>
      </c>
      <c r="W10" s="229">
        <f>IFERROR(VLOOKUP(B10,资产减值损失核对!A:L,12,0),"")</f>
        <v>0</v>
      </c>
      <c r="X10" s="229">
        <f t="shared" si="1"/>
        <v>0</v>
      </c>
    </row>
    <row r="11" spans="1:24">
      <c r="A11" s="229" t="str">
        <f>IF(OR(ABS(C11)&gt;0,ABS(F11)&gt;0,ABS(K11)&gt;0,ABS(P11)&gt;0),基础信息!$B$1,"")</f>
        <v/>
      </c>
      <c r="B11" s="547" t="s">
        <v>2868</v>
      </c>
      <c r="C11" s="229">
        <f t="shared" si="2"/>
        <v>0</v>
      </c>
      <c r="D11" s="288"/>
      <c r="E11" s="288"/>
      <c r="F11" s="259">
        <f t="shared" si="3"/>
        <v>0</v>
      </c>
      <c r="G11" s="259">
        <f t="shared" si="4"/>
        <v>0</v>
      </c>
      <c r="H11" s="288"/>
      <c r="I11" s="288"/>
      <c r="J11" s="288"/>
      <c r="K11" s="229">
        <f t="shared" si="5"/>
        <v>0</v>
      </c>
      <c r="L11" s="259">
        <f t="shared" si="6"/>
        <v>0</v>
      </c>
      <c r="M11" s="288"/>
      <c r="N11" s="288"/>
      <c r="O11" s="288"/>
      <c r="P11" s="229">
        <f t="shared" si="7"/>
        <v>0</v>
      </c>
      <c r="Q11" s="229">
        <f t="shared" si="7"/>
        <v>0</v>
      </c>
      <c r="R11" s="229">
        <f t="shared" si="8"/>
        <v>0</v>
      </c>
      <c r="S11" s="229">
        <f>IF(D11&gt;0,D11*所得税项目计算!$F$2,0)</f>
        <v>0</v>
      </c>
      <c r="T11" s="229">
        <f>IF(Q11&gt;0,Q11*所得税项目计算!$F$2,0)</f>
        <v>0</v>
      </c>
      <c r="U11" s="229">
        <f>IFERROR(VLOOKUP(B11,资产减值损失核对!A:L,2,0),"")</f>
        <v>0</v>
      </c>
      <c r="V11" s="229">
        <f t="shared" si="0"/>
        <v>0</v>
      </c>
      <c r="W11" s="229">
        <f>IFERROR(VLOOKUP(B11,资产减值损失核对!A:L,12,0),"")</f>
        <v>0</v>
      </c>
      <c r="X11" s="229">
        <f t="shared" si="1"/>
        <v>0</v>
      </c>
    </row>
    <row r="12" spans="1:24">
      <c r="A12" s="229" t="str">
        <f>IF(OR(ABS(C12)&gt;0,ABS(F12)&gt;0,ABS(K12)&gt;0,ABS(P12)&gt;0),基础信息!$B$1,"")</f>
        <v/>
      </c>
      <c r="B12" s="547" t="s">
        <v>2870</v>
      </c>
      <c r="C12" s="229">
        <f t="shared" si="2"/>
        <v>0</v>
      </c>
      <c r="D12" s="288"/>
      <c r="E12" s="288"/>
      <c r="F12" s="259">
        <f t="shared" si="3"/>
        <v>0</v>
      </c>
      <c r="G12" s="259">
        <f t="shared" si="4"/>
        <v>0</v>
      </c>
      <c r="H12" s="288"/>
      <c r="I12" s="288"/>
      <c r="J12" s="288"/>
      <c r="K12" s="229">
        <f t="shared" si="5"/>
        <v>0</v>
      </c>
      <c r="L12" s="259">
        <f t="shared" si="6"/>
        <v>0</v>
      </c>
      <c r="M12" s="288"/>
      <c r="N12" s="288"/>
      <c r="O12" s="288"/>
      <c r="P12" s="229">
        <f t="shared" si="7"/>
        <v>0</v>
      </c>
      <c r="Q12" s="229">
        <f t="shared" si="7"/>
        <v>0</v>
      </c>
      <c r="R12" s="229">
        <f t="shared" si="8"/>
        <v>0</v>
      </c>
      <c r="S12" s="229">
        <f>IF(D12&gt;0,D12*所得税项目计算!$F$2,0)</f>
        <v>0</v>
      </c>
      <c r="T12" s="229">
        <f>IF(Q12&gt;0,Q12*所得税项目计算!$F$2,0)</f>
        <v>0</v>
      </c>
      <c r="U12" s="229">
        <f>IFERROR(VLOOKUP(B12,资产减值损失核对!A:L,2,0),"")</f>
        <v>0</v>
      </c>
      <c r="V12" s="229">
        <f t="shared" si="0"/>
        <v>0</v>
      </c>
      <c r="W12" s="229">
        <f>IFERROR(VLOOKUP(B12,资产减值损失核对!A:L,12,0),"")</f>
        <v>0</v>
      </c>
      <c r="X12" s="229">
        <f t="shared" si="1"/>
        <v>0</v>
      </c>
    </row>
    <row r="13" spans="1:24">
      <c r="A13" s="229" t="str">
        <f>IF(OR(ABS(C13)&gt;0,ABS(F13)&gt;0,ABS(K13)&gt;0,ABS(P13)&gt;0),基础信息!$B$1,"")</f>
        <v/>
      </c>
      <c r="B13" s="547" t="s">
        <v>904</v>
      </c>
      <c r="C13" s="229">
        <f t="shared" si="2"/>
        <v>0</v>
      </c>
      <c r="D13" s="288"/>
      <c r="E13" s="288"/>
      <c r="F13" s="259">
        <f t="shared" si="3"/>
        <v>0</v>
      </c>
      <c r="G13" s="259">
        <f t="shared" si="4"/>
        <v>0</v>
      </c>
      <c r="H13" s="288"/>
      <c r="I13" s="288"/>
      <c r="J13" s="288"/>
      <c r="K13" s="229">
        <f t="shared" si="5"/>
        <v>0</v>
      </c>
      <c r="L13" s="259">
        <f t="shared" si="6"/>
        <v>0</v>
      </c>
      <c r="M13" s="288"/>
      <c r="N13" s="288"/>
      <c r="O13" s="288"/>
      <c r="P13" s="229">
        <f t="shared" si="7"/>
        <v>0</v>
      </c>
      <c r="Q13" s="229">
        <f t="shared" si="7"/>
        <v>0</v>
      </c>
      <c r="R13" s="229">
        <f t="shared" si="8"/>
        <v>0</v>
      </c>
      <c r="S13" s="229">
        <f>IF(D13&gt;0,D13*所得税项目计算!$F$2,0)</f>
        <v>0</v>
      </c>
      <c r="T13" s="229">
        <f>IF(Q13&gt;0,Q13*所得税项目计算!$F$2,0)</f>
        <v>0</v>
      </c>
      <c r="U13" s="229">
        <f>IFERROR(VLOOKUP(B13,资产减值损失核对!A:L,2,0),"")</f>
        <v>0</v>
      </c>
      <c r="V13" s="229">
        <f t="shared" si="0"/>
        <v>0</v>
      </c>
      <c r="W13" s="229">
        <f>IFERROR(VLOOKUP(B13,资产减值损失核对!A:L,12,0),"")</f>
        <v>0</v>
      </c>
      <c r="X13" s="229">
        <f t="shared" si="1"/>
        <v>0</v>
      </c>
    </row>
    <row r="14" spans="1:24">
      <c r="A14" s="229" t="str">
        <f>IF(OR(ABS(C14)&gt;0,ABS(F14)&gt;0,ABS(K14)&gt;0,ABS(P14)&gt;0),基础信息!$B$1,"")</f>
        <v/>
      </c>
      <c r="B14" s="547" t="s">
        <v>2874</v>
      </c>
      <c r="C14" s="229">
        <f t="shared" si="2"/>
        <v>0</v>
      </c>
      <c r="D14" s="288"/>
      <c r="E14" s="288"/>
      <c r="F14" s="259">
        <f t="shared" si="3"/>
        <v>0</v>
      </c>
      <c r="G14" s="259">
        <f t="shared" si="4"/>
        <v>0</v>
      </c>
      <c r="H14" s="288"/>
      <c r="I14" s="288"/>
      <c r="J14" s="288"/>
      <c r="K14" s="229">
        <f t="shared" si="5"/>
        <v>0</v>
      </c>
      <c r="L14" s="259">
        <f t="shared" si="6"/>
        <v>0</v>
      </c>
      <c r="M14" s="288"/>
      <c r="N14" s="288"/>
      <c r="O14" s="288"/>
      <c r="P14" s="229">
        <f t="shared" si="7"/>
        <v>0</v>
      </c>
      <c r="Q14" s="229">
        <f t="shared" si="7"/>
        <v>0</v>
      </c>
      <c r="R14" s="229">
        <f t="shared" si="8"/>
        <v>0</v>
      </c>
      <c r="S14" s="229">
        <f>IF(D14&gt;0,D14*所得税项目计算!$F$2,0)</f>
        <v>0</v>
      </c>
      <c r="T14" s="229">
        <f>IF(Q14&gt;0,Q14*所得税项目计算!$F$2,0)</f>
        <v>0</v>
      </c>
      <c r="U14" s="229">
        <f>IFERROR(VLOOKUP(B14,资产减值损失核对!A:L,2,0),"")</f>
        <v>0</v>
      </c>
      <c r="V14" s="229">
        <f t="shared" si="0"/>
        <v>0</v>
      </c>
      <c r="W14" s="229">
        <f>IFERROR(VLOOKUP(B14,资产减值损失核对!A:L,12,0),"")</f>
        <v>0</v>
      </c>
      <c r="X14" s="229">
        <f t="shared" si="1"/>
        <v>0</v>
      </c>
    </row>
    <row r="15" spans="1:24">
      <c r="A15" s="229" t="str">
        <f>IF(OR(ABS(C15)&gt;0,ABS(F15)&gt;0,ABS(K15)&gt;0,ABS(P15)&gt;0),基础信息!$B$1,"")</f>
        <v/>
      </c>
      <c r="B15" s="547" t="s">
        <v>2824</v>
      </c>
      <c r="C15" s="229">
        <f t="shared" si="2"/>
        <v>0</v>
      </c>
      <c r="D15" s="288"/>
      <c r="E15" s="288"/>
      <c r="F15" s="259">
        <f t="shared" si="3"/>
        <v>0</v>
      </c>
      <c r="G15" s="259">
        <f t="shared" si="4"/>
        <v>0</v>
      </c>
      <c r="H15" s="288"/>
      <c r="I15" s="288"/>
      <c r="J15" s="288"/>
      <c r="K15" s="229">
        <f t="shared" si="5"/>
        <v>0</v>
      </c>
      <c r="L15" s="259">
        <f t="shared" si="6"/>
        <v>0</v>
      </c>
      <c r="M15" s="288"/>
      <c r="N15" s="288"/>
      <c r="O15" s="288"/>
      <c r="P15" s="229">
        <f t="shared" si="7"/>
        <v>0</v>
      </c>
      <c r="Q15" s="229">
        <f t="shared" si="7"/>
        <v>0</v>
      </c>
      <c r="R15" s="229">
        <f t="shared" si="8"/>
        <v>0</v>
      </c>
      <c r="S15" s="229">
        <f>IF(D15&gt;0,D15*所得税项目计算!$F$2,0)</f>
        <v>0</v>
      </c>
      <c r="T15" s="229">
        <f>IF(Q15&gt;0,Q15*所得税项目计算!$F$2,0)</f>
        <v>0</v>
      </c>
      <c r="U15" s="229">
        <f>IFERROR(VLOOKUP(B15,资产减值损失核对!A:L,2,0),"")</f>
        <v>0</v>
      </c>
      <c r="V15" s="229">
        <f t="shared" si="0"/>
        <v>0</v>
      </c>
      <c r="W15" s="229">
        <f>IFERROR(VLOOKUP(B15,资产减值损失核对!A:L,12,0),"")</f>
        <v>0</v>
      </c>
      <c r="X15" s="229">
        <f t="shared" si="1"/>
        <v>0</v>
      </c>
    </row>
    <row r="16" spans="1:24">
      <c r="A16" s="229" t="str">
        <f>IF(OR(ABS(C16)&gt;0,ABS(F16)&gt;0,ABS(K16)&gt;0,ABS(P16)&gt;0),基础信息!$B$1,"")</f>
        <v/>
      </c>
      <c r="B16" s="547" t="s">
        <v>670</v>
      </c>
      <c r="C16" s="229">
        <f t="shared" si="2"/>
        <v>0</v>
      </c>
      <c r="D16" s="288"/>
      <c r="E16" s="288"/>
      <c r="F16" s="259">
        <f t="shared" si="3"/>
        <v>0</v>
      </c>
      <c r="G16" s="259">
        <f t="shared" si="4"/>
        <v>0</v>
      </c>
      <c r="H16" s="288"/>
      <c r="I16" s="288"/>
      <c r="J16" s="288"/>
      <c r="K16" s="229">
        <f t="shared" si="5"/>
        <v>0</v>
      </c>
      <c r="L16" s="259">
        <f t="shared" si="6"/>
        <v>0</v>
      </c>
      <c r="M16" s="288"/>
      <c r="N16" s="288"/>
      <c r="O16" s="288"/>
      <c r="P16" s="229">
        <f t="shared" si="7"/>
        <v>0</v>
      </c>
      <c r="Q16" s="229">
        <f t="shared" si="7"/>
        <v>0</v>
      </c>
      <c r="R16" s="229">
        <f t="shared" si="8"/>
        <v>0</v>
      </c>
      <c r="S16" s="229">
        <f>IF(D16&gt;0,D16*所得税项目计算!$F$2,0)</f>
        <v>0</v>
      </c>
      <c r="T16" s="229">
        <f>IF(Q16&gt;0,Q16*所得税项目计算!$F$2,0)</f>
        <v>0</v>
      </c>
      <c r="U16" s="229">
        <f>IFERROR(VLOOKUP(B16,资产减值损失核对!A:L,2,0),"")</f>
        <v>0</v>
      </c>
      <c r="V16" s="229">
        <f t="shared" si="0"/>
        <v>0</v>
      </c>
      <c r="W16" s="229">
        <f>IFERROR(VLOOKUP(B16,资产减值损失核对!A:L,12,0),"")</f>
        <v>0</v>
      </c>
      <c r="X16" s="229">
        <f t="shared" si="1"/>
        <v>0</v>
      </c>
    </row>
    <row r="17" spans="1:24">
      <c r="A17" s="229" t="str">
        <f>IF(OR(ABS(C17)&gt;0,ABS(F17)&gt;0,ABS(K17)&gt;0,ABS(P17)&gt;0),基础信息!$B$1,"")</f>
        <v/>
      </c>
      <c r="B17" s="547" t="s">
        <v>747</v>
      </c>
      <c r="C17" s="229">
        <f t="shared" si="2"/>
        <v>0</v>
      </c>
      <c r="D17" s="288"/>
      <c r="E17" s="288"/>
      <c r="F17" s="259">
        <f t="shared" si="3"/>
        <v>0</v>
      </c>
      <c r="G17" s="259">
        <f t="shared" si="4"/>
        <v>0</v>
      </c>
      <c r="H17" s="288"/>
      <c r="I17" s="288"/>
      <c r="J17" s="288"/>
      <c r="K17" s="229">
        <f t="shared" si="5"/>
        <v>0</v>
      </c>
      <c r="L17" s="259">
        <f t="shared" si="6"/>
        <v>0</v>
      </c>
      <c r="M17" s="288"/>
      <c r="N17" s="288"/>
      <c r="O17" s="288"/>
      <c r="P17" s="229">
        <f t="shared" si="7"/>
        <v>0</v>
      </c>
      <c r="Q17" s="229">
        <f t="shared" si="7"/>
        <v>0</v>
      </c>
      <c r="R17" s="229">
        <f t="shared" si="8"/>
        <v>0</v>
      </c>
      <c r="S17" s="229">
        <f>IF(D17&gt;0,D17*所得税项目计算!$F$2,0)</f>
        <v>0</v>
      </c>
      <c r="T17" s="229">
        <f>IF(Q17&gt;0,Q17*所得税项目计算!$F$2,0)</f>
        <v>0</v>
      </c>
      <c r="U17" s="229">
        <f>IFERROR(VLOOKUP(B17,资产减值损失核对!A:L,2,0),"")</f>
        <v>0</v>
      </c>
      <c r="V17" s="229">
        <f t="shared" si="0"/>
        <v>0</v>
      </c>
      <c r="W17" s="229">
        <f>IFERROR(VLOOKUP(B17,资产减值损失核对!A:L,12,0),"")</f>
        <v>0</v>
      </c>
      <c r="X17" s="229">
        <f t="shared" si="1"/>
        <v>0</v>
      </c>
    </row>
    <row r="18" spans="1:24">
      <c r="A18" s="229" t="str">
        <f>IF(OR(ABS(C18)&gt;0,ABS(F18)&gt;0,ABS(K18)&gt;0,ABS(P18)&gt;0),基础信息!$B$1,"")</f>
        <v/>
      </c>
      <c r="B18" s="547" t="s">
        <v>744</v>
      </c>
      <c r="C18" s="229">
        <f t="shared" si="2"/>
        <v>0</v>
      </c>
      <c r="D18" s="288"/>
      <c r="E18" s="288"/>
      <c r="F18" s="259">
        <f t="shared" si="3"/>
        <v>0</v>
      </c>
      <c r="G18" s="259">
        <f t="shared" si="4"/>
        <v>0</v>
      </c>
      <c r="H18" s="288"/>
      <c r="I18" s="288"/>
      <c r="J18" s="288"/>
      <c r="K18" s="229">
        <f t="shared" si="5"/>
        <v>0</v>
      </c>
      <c r="L18" s="259">
        <f t="shared" si="6"/>
        <v>0</v>
      </c>
      <c r="M18" s="288"/>
      <c r="N18" s="288"/>
      <c r="O18" s="288"/>
      <c r="P18" s="229">
        <f t="shared" si="7"/>
        <v>0</v>
      </c>
      <c r="Q18" s="229">
        <f t="shared" si="7"/>
        <v>0</v>
      </c>
      <c r="R18" s="229">
        <f t="shared" si="8"/>
        <v>0</v>
      </c>
      <c r="S18" s="229">
        <f>IF(D18&gt;0,D18*所得税项目计算!$F$2,0)</f>
        <v>0</v>
      </c>
      <c r="T18" s="229">
        <f>IF(Q18&gt;0,Q18*所得税项目计算!$F$2,0)</f>
        <v>0</v>
      </c>
      <c r="U18" s="229">
        <f>IFERROR(VLOOKUP(B18,资产减值损失核对!A:L,2,0),"")</f>
        <v>0</v>
      </c>
      <c r="V18" s="229">
        <f t="shared" si="0"/>
        <v>0</v>
      </c>
      <c r="W18" s="229">
        <f>IFERROR(VLOOKUP(B18,资产减值损失核对!A:L,12,0),"")</f>
        <v>0</v>
      </c>
      <c r="X18" s="229">
        <f t="shared" si="1"/>
        <v>0</v>
      </c>
    </row>
    <row r="19" spans="1:24">
      <c r="A19" s="229" t="str">
        <f>IF(OR(ABS(C19)&gt;0,ABS(F19)&gt;0,ABS(K19)&gt;0,ABS(P19)&gt;0),基础信息!$B$1,"")</f>
        <v/>
      </c>
      <c r="B19" s="547" t="s">
        <v>955</v>
      </c>
      <c r="C19" s="229">
        <f t="shared" si="2"/>
        <v>0</v>
      </c>
      <c r="D19" s="288"/>
      <c r="E19" s="288"/>
      <c r="F19" s="259">
        <f t="shared" si="3"/>
        <v>0</v>
      </c>
      <c r="G19" s="259">
        <f t="shared" si="4"/>
        <v>0</v>
      </c>
      <c r="H19" s="288"/>
      <c r="I19" s="288"/>
      <c r="J19" s="288"/>
      <c r="K19" s="229">
        <f t="shared" si="5"/>
        <v>0</v>
      </c>
      <c r="L19" s="259">
        <f t="shared" si="6"/>
        <v>0</v>
      </c>
      <c r="M19" s="288"/>
      <c r="N19" s="288"/>
      <c r="O19" s="288"/>
      <c r="P19" s="229">
        <f t="shared" si="7"/>
        <v>0</v>
      </c>
      <c r="Q19" s="229">
        <f t="shared" si="7"/>
        <v>0</v>
      </c>
      <c r="R19" s="229">
        <f t="shared" si="8"/>
        <v>0</v>
      </c>
      <c r="S19" s="229">
        <f>IF(D19&gt;0,D19*所得税项目计算!$F$2,0)</f>
        <v>0</v>
      </c>
      <c r="T19" s="229">
        <f>IF(Q19&gt;0,Q19*所得税项目计算!$F$2,0)</f>
        <v>0</v>
      </c>
      <c r="U19" s="229">
        <f>IFERROR(VLOOKUP(B19,资产减值损失核对!A:L,2,0),"")</f>
        <v>0</v>
      </c>
      <c r="V19" s="229">
        <f t="shared" si="0"/>
        <v>0</v>
      </c>
      <c r="W19" s="229">
        <f>IFERROR(VLOOKUP(B19,资产减值损失核对!A:L,12,0),"")</f>
        <v>0</v>
      </c>
      <c r="X19" s="229">
        <f t="shared" si="1"/>
        <v>0</v>
      </c>
    </row>
    <row r="20" spans="1:24">
      <c r="A20" s="229" t="str">
        <f>IF(OR(ABS(C20)&gt;0,ABS(F20)&gt;0,ABS(K20)&gt;0,ABS(P20)&gt;0),基础信息!$B$1,"")</f>
        <v/>
      </c>
      <c r="B20" s="547" t="s">
        <v>748</v>
      </c>
      <c r="C20" s="229">
        <f t="shared" si="2"/>
        <v>0</v>
      </c>
      <c r="D20" s="288"/>
      <c r="E20" s="288"/>
      <c r="F20" s="259">
        <f t="shared" si="3"/>
        <v>0</v>
      </c>
      <c r="G20" s="259">
        <f t="shared" si="4"/>
        <v>0</v>
      </c>
      <c r="H20" s="288"/>
      <c r="I20" s="288"/>
      <c r="J20" s="288"/>
      <c r="K20" s="229">
        <f t="shared" si="5"/>
        <v>0</v>
      </c>
      <c r="L20" s="259">
        <f t="shared" si="6"/>
        <v>0</v>
      </c>
      <c r="M20" s="288"/>
      <c r="N20" s="288"/>
      <c r="O20" s="288"/>
      <c r="P20" s="229">
        <f t="shared" si="7"/>
        <v>0</v>
      </c>
      <c r="Q20" s="229">
        <f t="shared" si="7"/>
        <v>0</v>
      </c>
      <c r="R20" s="229">
        <f t="shared" si="8"/>
        <v>0</v>
      </c>
      <c r="S20" s="229">
        <f>IF(D20&gt;0,D20*所得税项目计算!$F$2,0)</f>
        <v>0</v>
      </c>
      <c r="T20" s="229">
        <f>IF(Q20&gt;0,Q20*所得税项目计算!$F$2,0)</f>
        <v>0</v>
      </c>
      <c r="U20" s="229">
        <f>IFERROR(VLOOKUP(B20,资产减值损失核对!A:L,2,0),"")</f>
        <v>0</v>
      </c>
      <c r="V20" s="229">
        <f t="shared" si="0"/>
        <v>0</v>
      </c>
      <c r="W20" s="229">
        <f>IFERROR(VLOOKUP(B20,资产减值损失核对!A:L,12,0),"")</f>
        <v>0</v>
      </c>
      <c r="X20" s="229">
        <f t="shared" si="1"/>
        <v>0</v>
      </c>
    </row>
    <row r="21" spans="1:24">
      <c r="A21" s="229" t="str">
        <f>IF(OR(ABS(C21)&gt;0,ABS(F21)&gt;0,ABS(K21)&gt;0,ABS(P21)&gt;0),基础信息!$B$1,"")</f>
        <v/>
      </c>
      <c r="B21" s="547" t="s">
        <v>2876</v>
      </c>
      <c r="C21" s="229">
        <f t="shared" si="2"/>
        <v>0</v>
      </c>
      <c r="D21" s="288"/>
      <c r="E21" s="288"/>
      <c r="F21" s="259">
        <f t="shared" si="3"/>
        <v>0</v>
      </c>
      <c r="G21" s="259">
        <f t="shared" si="4"/>
        <v>0</v>
      </c>
      <c r="H21" s="288"/>
      <c r="I21" s="288"/>
      <c r="J21" s="288"/>
      <c r="K21" s="229">
        <f t="shared" si="5"/>
        <v>0</v>
      </c>
      <c r="L21" s="259">
        <f t="shared" si="6"/>
        <v>0</v>
      </c>
      <c r="M21" s="288"/>
      <c r="N21" s="288"/>
      <c r="O21" s="288"/>
      <c r="P21" s="229">
        <f t="shared" si="7"/>
        <v>0</v>
      </c>
      <c r="Q21" s="229">
        <f t="shared" si="7"/>
        <v>0</v>
      </c>
      <c r="R21" s="229">
        <f t="shared" si="8"/>
        <v>0</v>
      </c>
      <c r="S21" s="229">
        <f>IF(D21&gt;0,D21*所得税项目计算!$F$2,0)</f>
        <v>0</v>
      </c>
      <c r="T21" s="229">
        <f>IF(Q21&gt;0,Q21*所得税项目计算!$F$2,0)</f>
        <v>0</v>
      </c>
      <c r="U21" s="229">
        <f>IFERROR(VLOOKUP(B21,资产减值损失核对!A:L,2,0),"")</f>
        <v>0</v>
      </c>
      <c r="V21" s="229">
        <f t="shared" si="0"/>
        <v>0</v>
      </c>
      <c r="W21" s="229">
        <f>IFERROR(VLOOKUP(B21,资产减值损失核对!A:L,12,0),"")</f>
        <v>0</v>
      </c>
      <c r="X21" s="229">
        <f t="shared" si="1"/>
        <v>0</v>
      </c>
    </row>
    <row r="22" spans="1:24">
      <c r="A22" s="229" t="str">
        <f>IF(OR(ABS(C22)&gt;0,ABS(F22)&gt;0,ABS(K22)&gt;0,ABS(P22)&gt;0),基础信息!$B$1,"")</f>
        <v/>
      </c>
      <c r="B22" s="547" t="s">
        <v>2878</v>
      </c>
      <c r="C22" s="229">
        <f t="shared" si="2"/>
        <v>0</v>
      </c>
      <c r="D22" s="288"/>
      <c r="E22" s="288"/>
      <c r="F22" s="259">
        <f t="shared" si="3"/>
        <v>0</v>
      </c>
      <c r="G22" s="259">
        <f t="shared" si="4"/>
        <v>0</v>
      </c>
      <c r="H22" s="288"/>
      <c r="I22" s="288"/>
      <c r="J22" s="288"/>
      <c r="K22" s="229">
        <f t="shared" si="5"/>
        <v>0</v>
      </c>
      <c r="L22" s="259">
        <f t="shared" si="6"/>
        <v>0</v>
      </c>
      <c r="M22" s="288"/>
      <c r="N22" s="288"/>
      <c r="O22" s="288"/>
      <c r="P22" s="229">
        <f t="shared" si="7"/>
        <v>0</v>
      </c>
      <c r="Q22" s="229">
        <f t="shared" si="7"/>
        <v>0</v>
      </c>
      <c r="R22" s="229">
        <f t="shared" si="8"/>
        <v>0</v>
      </c>
      <c r="S22" s="229">
        <f>IF(D22&gt;0,D22*所得税项目计算!$F$2,0)</f>
        <v>0</v>
      </c>
      <c r="T22" s="229">
        <f>IF(Q22&gt;0,Q22*所得税项目计算!$F$2,0)</f>
        <v>0</v>
      </c>
      <c r="U22" s="229">
        <f>IFERROR(VLOOKUP(B22,资产减值损失核对!A:L,2,0),"")</f>
        <v>0</v>
      </c>
      <c r="V22" s="229">
        <f t="shared" si="0"/>
        <v>0</v>
      </c>
      <c r="W22" s="229">
        <f>IFERROR(VLOOKUP(B22,资产减值损失核对!A:L,12,0),"")</f>
        <v>0</v>
      </c>
      <c r="X22" s="229">
        <f t="shared" si="1"/>
        <v>0</v>
      </c>
    </row>
    <row r="23" spans="1:24">
      <c r="A23" s="229" t="str">
        <f>IF(OR(ABS(C23)&gt;0,ABS(F23)&gt;0,ABS(K23)&gt;0,ABS(P23)&gt;0),基础信息!$B$1,"")</f>
        <v/>
      </c>
      <c r="B23" s="547" t="s">
        <v>988</v>
      </c>
      <c r="C23" s="229">
        <f t="shared" si="2"/>
        <v>0</v>
      </c>
      <c r="D23" s="288"/>
      <c r="E23" s="288"/>
      <c r="F23" s="259">
        <f t="shared" si="3"/>
        <v>0</v>
      </c>
      <c r="G23" s="259">
        <f t="shared" si="4"/>
        <v>0</v>
      </c>
      <c r="H23" s="288"/>
      <c r="I23" s="288"/>
      <c r="J23" s="288"/>
      <c r="K23" s="229">
        <f t="shared" si="5"/>
        <v>0</v>
      </c>
      <c r="L23" s="259">
        <f t="shared" si="6"/>
        <v>0</v>
      </c>
      <c r="M23" s="288"/>
      <c r="N23" s="288"/>
      <c r="O23" s="288"/>
      <c r="P23" s="229">
        <f t="shared" si="7"/>
        <v>0</v>
      </c>
      <c r="Q23" s="229">
        <f t="shared" si="7"/>
        <v>0</v>
      </c>
      <c r="R23" s="229">
        <f t="shared" si="8"/>
        <v>0</v>
      </c>
      <c r="S23" s="229">
        <f>IF(D23&gt;0,D23*所得税项目计算!$F$2,0)</f>
        <v>0</v>
      </c>
      <c r="T23" s="229">
        <f>IF(Q23&gt;0,Q23*所得税项目计算!$F$2,0)</f>
        <v>0</v>
      </c>
      <c r="U23" s="229">
        <f>IFERROR(VLOOKUP(B23,资产减值损失核对!A:L,2,0),"")</f>
        <v>0</v>
      </c>
      <c r="V23" s="229">
        <f t="shared" si="0"/>
        <v>0</v>
      </c>
      <c r="W23" s="229">
        <f>IFERROR(VLOOKUP(B23,资产减值损失核对!A:L,12,0),"")</f>
        <v>0</v>
      </c>
      <c r="X23" s="229">
        <f t="shared" si="1"/>
        <v>0</v>
      </c>
    </row>
    <row r="24" spans="1:24">
      <c r="A24" s="229" t="str">
        <f>IF(OR(ABS(C24)&gt;0,ABS(F24)&gt;0,ABS(K24)&gt;0,ABS(P24)&gt;0),基础信息!$B$1,"")</f>
        <v/>
      </c>
      <c r="B24" s="547" t="s">
        <v>997</v>
      </c>
      <c r="C24" s="229">
        <f t="shared" si="2"/>
        <v>0</v>
      </c>
      <c r="D24" s="288"/>
      <c r="E24" s="288"/>
      <c r="F24" s="259">
        <f t="shared" si="3"/>
        <v>0</v>
      </c>
      <c r="G24" s="259">
        <f t="shared" si="4"/>
        <v>0</v>
      </c>
      <c r="H24" s="288"/>
      <c r="I24" s="288"/>
      <c r="J24" s="288"/>
      <c r="K24" s="229">
        <f t="shared" si="5"/>
        <v>0</v>
      </c>
      <c r="L24" s="259">
        <f t="shared" si="6"/>
        <v>0</v>
      </c>
      <c r="M24" s="288"/>
      <c r="N24" s="288"/>
      <c r="O24" s="288"/>
      <c r="P24" s="229">
        <f t="shared" si="7"/>
        <v>0</v>
      </c>
      <c r="Q24" s="229">
        <f t="shared" si="7"/>
        <v>0</v>
      </c>
      <c r="R24" s="229">
        <f t="shared" si="8"/>
        <v>0</v>
      </c>
      <c r="S24" s="229">
        <f>IF(D24&gt;0,D24*所得税项目计算!$F$2,0)</f>
        <v>0</v>
      </c>
      <c r="T24" s="229">
        <f>IF(Q24&gt;0,Q24*所得税项目计算!$F$2,0)</f>
        <v>0</v>
      </c>
      <c r="U24" s="229">
        <f>IFERROR(VLOOKUP(B24,资产减值损失核对!A:L,2,0),"")</f>
        <v>0</v>
      </c>
      <c r="V24" s="229">
        <f t="shared" si="0"/>
        <v>0</v>
      </c>
      <c r="W24" s="229">
        <f>IFERROR(VLOOKUP(B24,资产减值损失核对!A:L,12,0),"")</f>
        <v>0</v>
      </c>
      <c r="X24" s="229">
        <f t="shared" si="1"/>
        <v>0</v>
      </c>
    </row>
    <row r="25" spans="1:24">
      <c r="A25" s="229" t="str">
        <f>IF(OR(ABS(C25)&gt;0,ABS(F25)&gt;0,ABS(K25)&gt;0,ABS(P25)&gt;0),基础信息!$B$1,"")</f>
        <v/>
      </c>
      <c r="B25" s="547" t="s">
        <v>2881</v>
      </c>
      <c r="C25" s="229">
        <f t="shared" si="2"/>
        <v>0</v>
      </c>
      <c r="D25" s="288"/>
      <c r="E25" s="288"/>
      <c r="F25" s="259">
        <f t="shared" si="3"/>
        <v>0</v>
      </c>
      <c r="G25" s="259">
        <f t="shared" si="4"/>
        <v>0</v>
      </c>
      <c r="H25" s="288"/>
      <c r="I25" s="288"/>
      <c r="J25" s="288"/>
      <c r="K25" s="229">
        <f t="shared" si="5"/>
        <v>0</v>
      </c>
      <c r="L25" s="259">
        <f t="shared" si="6"/>
        <v>0</v>
      </c>
      <c r="M25" s="288"/>
      <c r="N25" s="288"/>
      <c r="O25" s="288"/>
      <c r="P25" s="229">
        <f t="shared" si="7"/>
        <v>0</v>
      </c>
      <c r="Q25" s="229">
        <f t="shared" si="7"/>
        <v>0</v>
      </c>
      <c r="R25" s="229">
        <f t="shared" si="8"/>
        <v>0</v>
      </c>
      <c r="S25" s="229">
        <f>IF(D25&gt;0,D25*所得税项目计算!$F$2,0)</f>
        <v>0</v>
      </c>
      <c r="T25" s="229">
        <f>IF(Q25&gt;0,Q25*所得税项目计算!$F$2,0)</f>
        <v>0</v>
      </c>
      <c r="U25" s="229">
        <f>IFERROR(VLOOKUP(B25,资产减值损失核对!A:L,2,0),"")</f>
        <v>0</v>
      </c>
      <c r="V25" s="229">
        <f t="shared" si="0"/>
        <v>0</v>
      </c>
      <c r="W25" s="229">
        <f>IFERROR(VLOOKUP(B25,资产减值损失核对!A:L,12,0),"")</f>
        <v>0</v>
      </c>
      <c r="X25" s="229">
        <f t="shared" si="1"/>
        <v>0</v>
      </c>
    </row>
    <row r="26" spans="1:24">
      <c r="A26" s="229" t="str">
        <f>IF(OR(ABS(C26)&gt;0,ABS(F26)&gt;0,ABS(K26)&gt;0,ABS(P26)&gt;0),基础信息!$B$1,"")</f>
        <v/>
      </c>
      <c r="B26" s="547" t="s">
        <v>2883</v>
      </c>
      <c r="C26" s="229">
        <f t="shared" si="2"/>
        <v>0</v>
      </c>
      <c r="D26" s="288"/>
      <c r="E26" s="288"/>
      <c r="F26" s="259">
        <f t="shared" si="3"/>
        <v>0</v>
      </c>
      <c r="G26" s="259">
        <f t="shared" si="4"/>
        <v>0</v>
      </c>
      <c r="H26" s="288"/>
      <c r="I26" s="288"/>
      <c r="J26" s="288"/>
      <c r="K26" s="229">
        <f t="shared" si="5"/>
        <v>0</v>
      </c>
      <c r="L26" s="259">
        <f t="shared" si="6"/>
        <v>0</v>
      </c>
      <c r="M26" s="288"/>
      <c r="N26" s="288"/>
      <c r="O26" s="288"/>
      <c r="P26" s="229">
        <f t="shared" si="7"/>
        <v>0</v>
      </c>
      <c r="Q26" s="229">
        <f t="shared" si="7"/>
        <v>0</v>
      </c>
      <c r="R26" s="229">
        <f t="shared" si="8"/>
        <v>0</v>
      </c>
      <c r="S26" s="229">
        <f>IF(D26&gt;0,D26*所得税项目计算!$F$2,0)</f>
        <v>0</v>
      </c>
      <c r="T26" s="229">
        <f>IF(Q26&gt;0,Q26*所得税项目计算!$F$2,0)</f>
        <v>0</v>
      </c>
      <c r="U26" s="229">
        <f>IFERROR(VLOOKUP(B26,资产减值损失核对!A:L,2,0),"")</f>
        <v>0</v>
      </c>
      <c r="V26" s="229">
        <f t="shared" si="0"/>
        <v>0</v>
      </c>
      <c r="W26" s="229">
        <f>IFERROR(VLOOKUP(B26,资产减值损失核对!A:L,12,0),"")</f>
        <v>0</v>
      </c>
      <c r="X26" s="229">
        <f t="shared" si="1"/>
        <v>0</v>
      </c>
    </row>
    <row r="27" spans="1:24">
      <c r="A27" s="229" t="str">
        <f>IF(OR(ABS(C27)&gt;0,ABS(F27)&gt;0,ABS(K27)&gt;0,ABS(P27)&gt;0),基础信息!$B$1,"")</f>
        <v/>
      </c>
      <c r="B27" s="547" t="s">
        <v>980</v>
      </c>
      <c r="C27" s="229">
        <f t="shared" si="2"/>
        <v>0</v>
      </c>
      <c r="D27" s="288"/>
      <c r="E27" s="288"/>
      <c r="F27" s="259">
        <f t="shared" si="3"/>
        <v>0</v>
      </c>
      <c r="G27" s="259">
        <f t="shared" si="4"/>
        <v>0</v>
      </c>
      <c r="H27" s="288"/>
      <c r="I27" s="288"/>
      <c r="J27" s="288"/>
      <c r="K27" s="229">
        <f t="shared" si="5"/>
        <v>0</v>
      </c>
      <c r="L27" s="259">
        <f t="shared" si="6"/>
        <v>0</v>
      </c>
      <c r="M27" s="288"/>
      <c r="N27" s="288"/>
      <c r="O27" s="288"/>
      <c r="P27" s="229">
        <f t="shared" si="7"/>
        <v>0</v>
      </c>
      <c r="Q27" s="229">
        <f t="shared" si="7"/>
        <v>0</v>
      </c>
      <c r="R27" s="229">
        <f t="shared" si="8"/>
        <v>0</v>
      </c>
      <c r="S27" s="229">
        <f>IF(D27&gt;0,D27*所得税项目计算!$F$2,0)</f>
        <v>0</v>
      </c>
      <c r="T27" s="229">
        <f>IF(Q27&gt;0,Q27*所得税项目计算!$F$2,0)</f>
        <v>0</v>
      </c>
      <c r="U27" s="229">
        <f>IFERROR(VLOOKUP(B27,资产减值损失核对!A:L,2,0),"")</f>
        <v>0</v>
      </c>
      <c r="V27" s="229">
        <f t="shared" si="0"/>
        <v>0</v>
      </c>
      <c r="W27" s="229">
        <f>IFERROR(VLOOKUP(B27,资产减值损失核对!A:L,12,0),"")</f>
        <v>0</v>
      </c>
      <c r="X27" s="229">
        <f t="shared" si="1"/>
        <v>0</v>
      </c>
    </row>
    <row r="28" spans="1:24">
      <c r="A28" s="229" t="str">
        <f>IF(OR(ABS(C28)&gt;0,ABS(F28)&gt;0,ABS(K28)&gt;0,ABS(P28)&gt;0),基础信息!$B$1,"")</f>
        <v/>
      </c>
      <c r="B28" s="547" t="s">
        <v>3288</v>
      </c>
      <c r="C28" s="229">
        <f t="shared" si="2"/>
        <v>0</v>
      </c>
      <c r="D28" s="288"/>
      <c r="E28" s="288"/>
      <c r="F28" s="259">
        <f t="shared" si="3"/>
        <v>0</v>
      </c>
      <c r="G28" s="259">
        <f t="shared" si="4"/>
        <v>0</v>
      </c>
      <c r="H28" s="288"/>
      <c r="I28" s="288"/>
      <c r="J28" s="288"/>
      <c r="K28" s="229">
        <f t="shared" si="5"/>
        <v>0</v>
      </c>
      <c r="L28" s="259">
        <f t="shared" si="6"/>
        <v>0</v>
      </c>
      <c r="M28" s="288"/>
      <c r="N28" s="288"/>
      <c r="O28" s="288"/>
      <c r="P28" s="229">
        <f t="shared" si="7"/>
        <v>0</v>
      </c>
      <c r="Q28" s="229">
        <f t="shared" si="7"/>
        <v>0</v>
      </c>
      <c r="R28" s="229">
        <f t="shared" si="8"/>
        <v>0</v>
      </c>
      <c r="S28" s="229">
        <f>IF(D28&gt;0,D28*所得税项目计算!$F$2,0)</f>
        <v>0</v>
      </c>
      <c r="T28" s="229">
        <f>IF(Q28&gt;0,Q28*所得税项目计算!$F$2,0)</f>
        <v>0</v>
      </c>
      <c r="U28" s="229" t="str">
        <f>IFERROR(VLOOKUP(B28,资产减值损失核对!A:L,2,0),"")</f>
        <v/>
      </c>
      <c r="V28" s="229" t="str">
        <f t="shared" si="0"/>
        <v/>
      </c>
      <c r="W28" s="229" t="str">
        <f>IFERROR(VLOOKUP(B28,资产减值损失核对!A:L,12,0),"")</f>
        <v/>
      </c>
      <c r="X28" s="229" t="str">
        <f t="shared" si="1"/>
        <v/>
      </c>
    </row>
    <row r="29" spans="1:24">
      <c r="A29" s="229" t="str">
        <f>IF(OR(ABS(C29)&gt;0,ABS(F29)&gt;0,ABS(K29)&gt;0,ABS(P29)&gt;0),基础信息!$B$1,"")</f>
        <v/>
      </c>
      <c r="B29" s="547" t="s">
        <v>3289</v>
      </c>
      <c r="C29" s="229">
        <f t="shared" si="2"/>
        <v>0</v>
      </c>
      <c r="D29" s="288"/>
      <c r="E29" s="288"/>
      <c r="F29" s="259">
        <f t="shared" si="3"/>
        <v>0</v>
      </c>
      <c r="G29" s="259">
        <f t="shared" si="4"/>
        <v>0</v>
      </c>
      <c r="H29" s="288"/>
      <c r="I29" s="288"/>
      <c r="J29" s="288"/>
      <c r="K29" s="229">
        <f t="shared" si="5"/>
        <v>0</v>
      </c>
      <c r="L29" s="259">
        <f t="shared" si="6"/>
        <v>0</v>
      </c>
      <c r="M29" s="288"/>
      <c r="N29" s="288"/>
      <c r="O29" s="288"/>
      <c r="P29" s="229">
        <f t="shared" si="7"/>
        <v>0</v>
      </c>
      <c r="Q29" s="229">
        <f t="shared" si="7"/>
        <v>0</v>
      </c>
      <c r="R29" s="229">
        <f t="shared" si="8"/>
        <v>0</v>
      </c>
      <c r="S29" s="229">
        <f>IF(D29&gt;0,D29*所得税项目计算!$F$2,0)</f>
        <v>0</v>
      </c>
      <c r="T29" s="229">
        <f>IF(Q29&gt;0,Q29*所得税项目计算!$F$2,0)</f>
        <v>0</v>
      </c>
      <c r="U29" s="229" t="str">
        <f>IFERROR(VLOOKUP(B29,资产减值损失核对!A:L,2,0),"")</f>
        <v/>
      </c>
      <c r="V29" s="229" t="str">
        <f t="shared" si="0"/>
        <v/>
      </c>
      <c r="W29" s="229" t="str">
        <f>IFERROR(VLOOKUP(B29,资产减值损失核对!A:L,12,0),"")</f>
        <v/>
      </c>
      <c r="X29" s="229" t="str">
        <f t="shared" si="1"/>
        <v/>
      </c>
    </row>
    <row r="30" spans="1:24">
      <c r="A30" s="229" t="str">
        <f>IF(OR(ABS(C30)&gt;0,ABS(F30)&gt;0,ABS(K30)&gt;0,ABS(P30)&gt;0),基础信息!$B$1,"")</f>
        <v/>
      </c>
      <c r="B30" s="547" t="s">
        <v>3283</v>
      </c>
      <c r="C30" s="229">
        <f t="shared" si="2"/>
        <v>0</v>
      </c>
      <c r="D30" s="288"/>
      <c r="E30" s="288"/>
      <c r="F30" s="259">
        <f t="shared" si="3"/>
        <v>0</v>
      </c>
      <c r="G30" s="259">
        <f t="shared" si="4"/>
        <v>0</v>
      </c>
      <c r="H30" s="288"/>
      <c r="I30" s="288"/>
      <c r="J30" s="288"/>
      <c r="K30" s="229">
        <f t="shared" si="5"/>
        <v>0</v>
      </c>
      <c r="L30" s="259">
        <f t="shared" si="6"/>
        <v>0</v>
      </c>
      <c r="M30" s="288"/>
      <c r="N30" s="288"/>
      <c r="O30" s="288"/>
      <c r="P30" s="229">
        <f t="shared" si="7"/>
        <v>0</v>
      </c>
      <c r="Q30" s="229">
        <f t="shared" si="7"/>
        <v>0</v>
      </c>
      <c r="R30" s="229">
        <f t="shared" si="8"/>
        <v>0</v>
      </c>
      <c r="S30" s="229">
        <f>IF(D30&gt;0,D30*所得税项目计算!$F$2,0)</f>
        <v>0</v>
      </c>
      <c r="T30" s="229">
        <f>IF(Q30&gt;0,Q30*所得税项目计算!$F$2,0)</f>
        <v>0</v>
      </c>
      <c r="U30" s="229" t="str">
        <f>IFERROR(VLOOKUP(B30,资产减值损失核对!A:L,2,0),"")</f>
        <v/>
      </c>
      <c r="V30" s="229" t="str">
        <f t="shared" si="0"/>
        <v/>
      </c>
      <c r="W30" s="229" t="str">
        <f>IFERROR(VLOOKUP(B30,资产减值损失核对!A:L,12,0),"")</f>
        <v/>
      </c>
      <c r="X30" s="229" t="str">
        <f t="shared" si="1"/>
        <v/>
      </c>
    </row>
    <row r="31" spans="1:24" s="259" customFormat="1">
      <c r="A31" s="229" t="str">
        <f>IF(OR(ABS(C31)&gt;0,ABS(F31)&gt;0,ABS(K31)&gt;0,ABS(P31)&gt;0),基础信息!$B$1,"")</f>
        <v/>
      </c>
      <c r="B31" s="547" t="s">
        <v>755</v>
      </c>
      <c r="C31" s="229">
        <f t="shared" si="2"/>
        <v>0</v>
      </c>
      <c r="D31" s="288"/>
      <c r="E31" s="288"/>
      <c r="F31" s="259">
        <f t="shared" si="3"/>
        <v>0</v>
      </c>
      <c r="G31" s="259">
        <f t="shared" si="4"/>
        <v>0</v>
      </c>
      <c r="H31" s="288"/>
      <c r="I31" s="288"/>
      <c r="J31" s="288"/>
      <c r="K31" s="229">
        <f t="shared" si="5"/>
        <v>0</v>
      </c>
      <c r="L31" s="259">
        <f t="shared" si="6"/>
        <v>0</v>
      </c>
      <c r="M31" s="288"/>
      <c r="N31" s="288"/>
      <c r="O31" s="288"/>
      <c r="P31" s="259">
        <f t="shared" si="7"/>
        <v>0</v>
      </c>
      <c r="Q31" s="259">
        <f t="shared" si="7"/>
        <v>0</v>
      </c>
      <c r="R31" s="259">
        <f t="shared" si="8"/>
        <v>0</v>
      </c>
      <c r="S31" s="229">
        <f>IF(D31&gt;0,D31*所得税项目计算!$F$2,0)</f>
        <v>0</v>
      </c>
      <c r="T31" s="229">
        <f>IF(Q31&gt;0,Q31*所得税项目计算!$F$2,0)</f>
        <v>0</v>
      </c>
      <c r="U31" s="229" t="str">
        <f>IFERROR(VLOOKUP(B31,资产减值损失核对!A:L,2,0),"")</f>
        <v/>
      </c>
      <c r="V31" s="229" t="str">
        <f t="shared" si="0"/>
        <v/>
      </c>
      <c r="W31" s="229" t="str">
        <f>IFERROR(VLOOKUP(B31,资产减值损失核对!A:L,12,0),"")</f>
        <v/>
      </c>
      <c r="X31" s="229" t="str">
        <f t="shared" si="1"/>
        <v/>
      </c>
    </row>
    <row r="32" spans="1:24">
      <c r="A32" s="229" t="str">
        <f>IF(OR(ABS(C32)&gt;0,ABS(F32)&gt;0,ABS(K32)&gt;0,ABS(P32)&gt;0),基础信息!$B$1,"")</f>
        <v/>
      </c>
      <c r="B32" s="547" t="s">
        <v>480</v>
      </c>
      <c r="C32" s="229">
        <f t="shared" si="2"/>
        <v>0</v>
      </c>
      <c r="D32" s="288"/>
      <c r="E32" s="288"/>
      <c r="F32" s="259">
        <f t="shared" si="3"/>
        <v>0</v>
      </c>
      <c r="G32" s="259">
        <f t="shared" si="4"/>
        <v>0</v>
      </c>
      <c r="H32" s="288"/>
      <c r="I32" s="288"/>
      <c r="J32" s="288"/>
      <c r="K32" s="229">
        <f t="shared" si="5"/>
        <v>0</v>
      </c>
      <c r="L32" s="259">
        <f t="shared" si="6"/>
        <v>0</v>
      </c>
      <c r="M32" s="288"/>
      <c r="N32" s="288"/>
      <c r="O32" s="288"/>
      <c r="P32" s="229">
        <f t="shared" si="7"/>
        <v>0</v>
      </c>
      <c r="Q32" s="229">
        <f t="shared" si="7"/>
        <v>0</v>
      </c>
      <c r="R32" s="229">
        <f t="shared" si="8"/>
        <v>0</v>
      </c>
      <c r="S32" s="229">
        <f>IF(D32&gt;0,D32*所得税项目计算!$F$2,0)</f>
        <v>0</v>
      </c>
      <c r="T32" s="229">
        <f>IF(Q32&gt;0,Q32*所得税项目计算!$F$2,0)</f>
        <v>0</v>
      </c>
      <c r="U32" s="229" t="str">
        <f>IFERROR(VLOOKUP(B32,资产减值损失核对!A:L,2,0),"")</f>
        <v/>
      </c>
      <c r="V32" s="229" t="str">
        <f t="shared" si="0"/>
        <v/>
      </c>
      <c r="W32" s="229" t="str">
        <f>IFERROR(VLOOKUP(B32,资产减值损失核对!A:L,12,0),"")</f>
        <v/>
      </c>
      <c r="X32" s="229" t="str">
        <f t="shared" si="1"/>
        <v/>
      </c>
    </row>
    <row r="33" spans="1:24">
      <c r="A33" s="229" t="str">
        <f>IF(OR(ABS(C33)&gt;0,ABS(F33)&gt;0,ABS(K33)&gt;0,ABS(P33)&gt;0),基础信息!$B$1,"")</f>
        <v/>
      </c>
      <c r="B33" s="547" t="s">
        <v>3890</v>
      </c>
      <c r="C33" s="229">
        <f t="shared" si="2"/>
        <v>0</v>
      </c>
      <c r="D33" s="288"/>
      <c r="E33" s="288"/>
      <c r="F33" s="259">
        <f t="shared" si="3"/>
        <v>0</v>
      </c>
      <c r="G33" s="259">
        <f t="shared" si="4"/>
        <v>0</v>
      </c>
      <c r="H33" s="288"/>
      <c r="I33" s="288"/>
      <c r="J33" s="288"/>
      <c r="K33" s="229">
        <f t="shared" si="5"/>
        <v>0</v>
      </c>
      <c r="L33" s="259">
        <f t="shared" si="6"/>
        <v>0</v>
      </c>
      <c r="M33" s="288"/>
      <c r="N33" s="288"/>
      <c r="O33" s="288"/>
      <c r="P33" s="229">
        <f t="shared" si="7"/>
        <v>0</v>
      </c>
      <c r="Q33" s="229">
        <f t="shared" si="7"/>
        <v>0</v>
      </c>
      <c r="R33" s="229">
        <f t="shared" si="8"/>
        <v>0</v>
      </c>
      <c r="S33" s="229">
        <f>IF(D33&gt;0,D33*所得税项目计算!$F$2,0)</f>
        <v>0</v>
      </c>
      <c r="T33" s="229">
        <f>IF(Q33&gt;0,Q33*所得税项目计算!$F$2,0)</f>
        <v>0</v>
      </c>
      <c r="U33" s="229" t="str">
        <f>IFERROR(VLOOKUP(B33,资产减值损失核对!A:L,2,0),"")</f>
        <v/>
      </c>
      <c r="V33" s="229" t="str">
        <f t="shared" si="0"/>
        <v/>
      </c>
      <c r="W33" s="229" t="str">
        <f>IFERROR(VLOOKUP(B33,资产减值损失核对!A:L,12,0),"")</f>
        <v/>
      </c>
      <c r="X33" s="229" t="str">
        <f t="shared" si="1"/>
        <v/>
      </c>
    </row>
    <row r="34" spans="1:24">
      <c r="A34" s="229" t="str">
        <f>IF(OR(ABS(C34)&gt;0,ABS(F34)&gt;0,ABS(K34)&gt;0,ABS(P34)&gt;0),基础信息!$B$1,"")</f>
        <v/>
      </c>
      <c r="B34" s="547" t="s">
        <v>3889</v>
      </c>
      <c r="C34" s="229">
        <f t="shared" si="2"/>
        <v>0</v>
      </c>
      <c r="D34" s="288"/>
      <c r="E34" s="288"/>
      <c r="F34" s="259">
        <f t="shared" si="3"/>
        <v>0</v>
      </c>
      <c r="G34" s="259">
        <f t="shared" si="4"/>
        <v>0</v>
      </c>
      <c r="H34" s="288"/>
      <c r="I34" s="288"/>
      <c r="J34" s="288"/>
      <c r="K34" s="229">
        <f t="shared" si="5"/>
        <v>0</v>
      </c>
      <c r="L34" s="259">
        <f t="shared" si="6"/>
        <v>0</v>
      </c>
      <c r="M34" s="288"/>
      <c r="N34" s="288"/>
      <c r="O34" s="288"/>
      <c r="P34" s="229">
        <f t="shared" si="7"/>
        <v>0</v>
      </c>
      <c r="Q34" s="229">
        <f t="shared" si="7"/>
        <v>0</v>
      </c>
      <c r="R34" s="229">
        <f t="shared" si="8"/>
        <v>0</v>
      </c>
      <c r="S34" s="229">
        <f>IF(D34&gt;0,D34*所得税项目计算!$F$2,0)</f>
        <v>0</v>
      </c>
      <c r="T34" s="229">
        <f>IF(Q34&gt;0,Q34*所得税项目计算!$F$2,0)</f>
        <v>0</v>
      </c>
      <c r="U34" s="229" t="str">
        <f>IFERROR(VLOOKUP(B34,资产减值损失核对!A:L,2,0),"")</f>
        <v/>
      </c>
      <c r="V34" s="229" t="str">
        <f t="shared" si="0"/>
        <v/>
      </c>
      <c r="W34" s="229" t="str">
        <f>IFERROR(VLOOKUP(B34,资产减值损失核对!A:L,12,0),"")</f>
        <v/>
      </c>
      <c r="X34" s="229" t="str">
        <f t="shared" si="1"/>
        <v/>
      </c>
    </row>
    <row r="35" spans="1:24">
      <c r="A35" s="229" t="str">
        <f>IF(OR(ABS(C35)&gt;0,ABS(F35)&gt;0,ABS(K35)&gt;0,ABS(P35)&gt;0),基础信息!$B$1,"")</f>
        <v/>
      </c>
      <c r="B35" s="547" t="s">
        <v>3891</v>
      </c>
      <c r="C35" s="229">
        <f t="shared" si="2"/>
        <v>0</v>
      </c>
      <c r="D35" s="288"/>
      <c r="E35" s="288"/>
      <c r="F35" s="259">
        <f t="shared" si="3"/>
        <v>0</v>
      </c>
      <c r="G35" s="259">
        <f t="shared" si="4"/>
        <v>0</v>
      </c>
      <c r="H35" s="288"/>
      <c r="I35" s="288"/>
      <c r="J35" s="288"/>
      <c r="K35" s="229">
        <f t="shared" si="5"/>
        <v>0</v>
      </c>
      <c r="L35" s="259">
        <f t="shared" si="6"/>
        <v>0</v>
      </c>
      <c r="M35" s="288"/>
      <c r="N35" s="288"/>
      <c r="O35" s="288"/>
      <c r="P35" s="229">
        <f t="shared" si="7"/>
        <v>0</v>
      </c>
      <c r="Q35" s="229">
        <f t="shared" si="7"/>
        <v>0</v>
      </c>
      <c r="R35" s="229">
        <f t="shared" si="8"/>
        <v>0</v>
      </c>
      <c r="S35" s="229">
        <f>IF(D35&gt;0,D35*所得税项目计算!$F$2,0)</f>
        <v>0</v>
      </c>
      <c r="T35" s="229">
        <f>IF(Q35&gt;0,Q35*所得税项目计算!$F$2,0)</f>
        <v>0</v>
      </c>
      <c r="U35" s="229" t="str">
        <f>IFERROR(VLOOKUP(B35,资产减值损失核对!A:L,2,0),"")</f>
        <v/>
      </c>
      <c r="V35" s="229" t="str">
        <f t="shared" si="0"/>
        <v/>
      </c>
      <c r="W35" s="229" t="str">
        <f>IFERROR(VLOOKUP(B35,资产减值损失核对!A:L,12,0),"")</f>
        <v/>
      </c>
      <c r="X35" s="229" t="str">
        <f t="shared" si="1"/>
        <v/>
      </c>
    </row>
    <row r="36" spans="1:24">
      <c r="A36" s="229" t="str">
        <f>IF(OR(ABS(C36)&gt;0,ABS(F36)&gt;0,ABS(K36)&gt;0,ABS(P36)&gt;0),基础信息!$B$1,"")</f>
        <v/>
      </c>
      <c r="B36" s="547" t="s">
        <v>2232</v>
      </c>
      <c r="C36" s="229">
        <f t="shared" si="2"/>
        <v>0</v>
      </c>
      <c r="D36" s="288"/>
      <c r="E36" s="288"/>
      <c r="F36" s="259">
        <f t="shared" si="3"/>
        <v>0</v>
      </c>
      <c r="G36" s="259">
        <f t="shared" si="4"/>
        <v>0</v>
      </c>
      <c r="H36" s="288"/>
      <c r="I36" s="288"/>
      <c r="J36" s="288"/>
      <c r="K36" s="229">
        <f t="shared" si="5"/>
        <v>0</v>
      </c>
      <c r="L36" s="259">
        <f t="shared" si="6"/>
        <v>0</v>
      </c>
      <c r="M36" s="288"/>
      <c r="N36" s="288"/>
      <c r="O36" s="288"/>
      <c r="P36" s="229">
        <f t="shared" si="7"/>
        <v>0</v>
      </c>
      <c r="Q36" s="229">
        <f t="shared" si="7"/>
        <v>0</v>
      </c>
      <c r="R36" s="229">
        <f t="shared" si="8"/>
        <v>0</v>
      </c>
      <c r="S36" s="229">
        <f>IF(D36&gt;0,D36*所得税项目计算!$F$2,0)</f>
        <v>0</v>
      </c>
      <c r="T36" s="229">
        <f>IF(Q36&gt;0,Q36*所得税项目计算!$F$2,0)</f>
        <v>0</v>
      </c>
      <c r="U36" s="229" t="str">
        <f>IFERROR(VLOOKUP(B36,资产减值损失核对!A:L,2,0),"")</f>
        <v/>
      </c>
      <c r="V36" s="229" t="str">
        <f t="shared" si="0"/>
        <v/>
      </c>
      <c r="W36" s="229" t="str">
        <f>IFERROR(VLOOKUP(B36,资产减值损失核对!A:L,12,0),"")</f>
        <v/>
      </c>
      <c r="X36" s="229" t="str">
        <f t="shared" si="1"/>
        <v/>
      </c>
    </row>
    <row r="37" spans="1:24">
      <c r="A37" s="229" t="str">
        <f>IF(OR(ABS(C37)&gt;0,ABS(F37)&gt;0,ABS(K37)&gt;0,ABS(P37)&gt;0),基础信息!$B$1,"")</f>
        <v/>
      </c>
      <c r="B37" s="547" t="s">
        <v>1074</v>
      </c>
      <c r="C37" s="229">
        <f t="shared" ref="C37:C47" si="9">SUM(D37:E37)</f>
        <v>0</v>
      </c>
      <c r="D37" s="288"/>
      <c r="E37" s="288"/>
      <c r="F37" s="259">
        <f t="shared" ref="F37:F47" si="10">G37+J37</f>
        <v>0</v>
      </c>
      <c r="G37" s="259">
        <f t="shared" ref="G37:G47" si="11">SUM(H37:I37)</f>
        <v>0</v>
      </c>
      <c r="H37" s="288"/>
      <c r="I37" s="288"/>
      <c r="J37" s="288"/>
      <c r="K37" s="229">
        <f t="shared" ref="K37:K47" si="12">L37+O37</f>
        <v>0</v>
      </c>
      <c r="L37" s="259">
        <f t="shared" ref="L37:L47" si="13">SUM(M37:N37)</f>
        <v>0</v>
      </c>
      <c r="M37" s="288"/>
      <c r="N37" s="288"/>
      <c r="O37" s="288"/>
      <c r="P37" s="229">
        <f t="shared" ref="P37:P47" si="14">C37+F37-K37</f>
        <v>0</v>
      </c>
      <c r="Q37" s="229">
        <f t="shared" ref="Q37:Q47" si="15">D37+G37-L37</f>
        <v>0</v>
      </c>
      <c r="R37" s="229">
        <f t="shared" ref="R37:R47" si="16">E37+J37-O37</f>
        <v>0</v>
      </c>
      <c r="S37" s="229">
        <f>IF(D37&gt;0,D37*所得税项目计算!$F$2,0)</f>
        <v>0</v>
      </c>
      <c r="T37" s="229">
        <f>IF(Q37&gt;0,Q37*所得税项目计算!$F$2,0)</f>
        <v>0</v>
      </c>
      <c r="U37" s="229" t="str">
        <f>IFERROR(VLOOKUP(B37,资产减值损失核对!A:L,2,0),"")</f>
        <v/>
      </c>
      <c r="V37" s="229" t="str">
        <f t="shared" si="0"/>
        <v/>
      </c>
      <c r="W37" s="229" t="str">
        <f>IFERROR(VLOOKUP(B37,资产减值损失核对!A:L,12,0),"")</f>
        <v/>
      </c>
      <c r="X37" s="229" t="str">
        <f t="shared" si="1"/>
        <v/>
      </c>
    </row>
    <row r="38" spans="1:24">
      <c r="A38" s="229" t="str">
        <f>IF(OR(ABS(C38)&gt;0,ABS(F38)&gt;0,ABS(K38)&gt;0,ABS(P38)&gt;0),基础信息!$B$1,"")</f>
        <v/>
      </c>
      <c r="B38" s="547" t="s">
        <v>3892</v>
      </c>
      <c r="C38" s="229">
        <f t="shared" si="9"/>
        <v>0</v>
      </c>
      <c r="D38" s="288"/>
      <c r="E38" s="288"/>
      <c r="F38" s="259">
        <f t="shared" si="10"/>
        <v>0</v>
      </c>
      <c r="G38" s="259">
        <f t="shared" si="11"/>
        <v>0</v>
      </c>
      <c r="H38" s="288"/>
      <c r="I38" s="288"/>
      <c r="J38" s="288"/>
      <c r="K38" s="229">
        <f t="shared" si="12"/>
        <v>0</v>
      </c>
      <c r="L38" s="259">
        <f t="shared" si="13"/>
        <v>0</v>
      </c>
      <c r="M38" s="288"/>
      <c r="N38" s="288"/>
      <c r="O38" s="288"/>
      <c r="P38" s="229">
        <f t="shared" si="14"/>
        <v>0</v>
      </c>
      <c r="Q38" s="229">
        <f t="shared" si="15"/>
        <v>0</v>
      </c>
      <c r="R38" s="229">
        <f t="shared" si="16"/>
        <v>0</v>
      </c>
      <c r="S38" s="229">
        <f>IF(D38&gt;0,D38*所得税项目计算!$F$2,0)</f>
        <v>0</v>
      </c>
      <c r="T38" s="229">
        <f>IF(Q38&gt;0,Q38*所得税项目计算!$F$2,0)</f>
        <v>0</v>
      </c>
      <c r="U38" s="229" t="str">
        <f>IFERROR(VLOOKUP(B38,资产减值损失核对!A:L,2,0),"")</f>
        <v/>
      </c>
      <c r="V38" s="229" t="str">
        <f t="shared" si="0"/>
        <v/>
      </c>
      <c r="W38" s="229" t="str">
        <f>IFERROR(VLOOKUP(B38,资产减值损失核对!A:L,12,0),"")</f>
        <v/>
      </c>
      <c r="X38" s="229" t="str">
        <f t="shared" si="1"/>
        <v/>
      </c>
    </row>
    <row r="39" spans="1:24">
      <c r="A39" s="229" t="str">
        <f>IF(OR(ABS(C39)&gt;0,ABS(F39)&gt;0,ABS(K39)&gt;0,ABS(P39)&gt;0),基础信息!$B$1,"")</f>
        <v/>
      </c>
      <c r="B39" s="547"/>
      <c r="C39" s="229">
        <f t="shared" si="9"/>
        <v>0</v>
      </c>
      <c r="D39" s="288"/>
      <c r="E39" s="288"/>
      <c r="F39" s="259">
        <f t="shared" si="10"/>
        <v>0</v>
      </c>
      <c r="G39" s="259">
        <f t="shared" si="11"/>
        <v>0</v>
      </c>
      <c r="H39" s="288"/>
      <c r="I39" s="288"/>
      <c r="J39" s="288"/>
      <c r="K39" s="229">
        <f t="shared" si="12"/>
        <v>0</v>
      </c>
      <c r="L39" s="259">
        <f t="shared" si="13"/>
        <v>0</v>
      </c>
      <c r="M39" s="288"/>
      <c r="N39" s="288"/>
      <c r="O39" s="288"/>
      <c r="P39" s="229">
        <f t="shared" si="14"/>
        <v>0</v>
      </c>
      <c r="Q39" s="229">
        <f t="shared" si="15"/>
        <v>0</v>
      </c>
      <c r="R39" s="229">
        <f t="shared" si="16"/>
        <v>0</v>
      </c>
      <c r="S39" s="229">
        <f>IF(D39&gt;0,D39*所得税项目计算!$F$2,0)</f>
        <v>0</v>
      </c>
      <c r="T39" s="229">
        <f>IF(Q39&gt;0,Q39*所得税项目计算!$F$2,0)</f>
        <v>0</v>
      </c>
      <c r="U39" s="229" t="str">
        <f>IFERROR(VLOOKUP(B39,资产减值损失核对!A:L,2,0),"")</f>
        <v/>
      </c>
      <c r="V39" s="229" t="str">
        <f t="shared" si="0"/>
        <v/>
      </c>
      <c r="W39" s="229" t="str">
        <f>IFERROR(VLOOKUP(B39,资产减值损失核对!A:L,12,0),"")</f>
        <v/>
      </c>
      <c r="X39" s="229" t="str">
        <f t="shared" si="1"/>
        <v/>
      </c>
    </row>
    <row r="40" spans="1:24">
      <c r="A40" s="229" t="str">
        <f>IF(OR(ABS(C40)&gt;0,ABS(F40)&gt;0,ABS(K40)&gt;0,ABS(P40)&gt;0),基础信息!$B$1,"")</f>
        <v/>
      </c>
      <c r="B40" s="547"/>
      <c r="C40" s="229">
        <f t="shared" si="9"/>
        <v>0</v>
      </c>
      <c r="D40" s="288"/>
      <c r="E40" s="288"/>
      <c r="F40" s="259">
        <f t="shared" si="10"/>
        <v>0</v>
      </c>
      <c r="G40" s="259">
        <f t="shared" si="11"/>
        <v>0</v>
      </c>
      <c r="H40" s="288"/>
      <c r="I40" s="288"/>
      <c r="J40" s="288"/>
      <c r="K40" s="229">
        <f t="shared" si="12"/>
        <v>0</v>
      </c>
      <c r="L40" s="259">
        <f t="shared" si="13"/>
        <v>0</v>
      </c>
      <c r="M40" s="288"/>
      <c r="N40" s="288"/>
      <c r="O40" s="288"/>
      <c r="P40" s="229">
        <f t="shared" si="14"/>
        <v>0</v>
      </c>
      <c r="Q40" s="229">
        <f t="shared" si="15"/>
        <v>0</v>
      </c>
      <c r="R40" s="229">
        <f t="shared" si="16"/>
        <v>0</v>
      </c>
      <c r="S40" s="229">
        <f>IF(D40&gt;0,D40*所得税项目计算!$F$2,0)</f>
        <v>0</v>
      </c>
      <c r="T40" s="229">
        <f>IF(Q40&gt;0,Q40*所得税项目计算!$F$2,0)</f>
        <v>0</v>
      </c>
      <c r="U40" s="229" t="str">
        <f>IFERROR(VLOOKUP(B40,资产减值损失核对!A:L,2,0),"")</f>
        <v/>
      </c>
      <c r="V40" s="229" t="str">
        <f t="shared" si="0"/>
        <v/>
      </c>
      <c r="W40" s="229" t="str">
        <f>IFERROR(VLOOKUP(B40,资产减值损失核对!A:L,12,0),"")</f>
        <v/>
      </c>
      <c r="X40" s="229" t="str">
        <f t="shared" si="1"/>
        <v/>
      </c>
    </row>
    <row r="41" spans="1:24">
      <c r="A41" s="229" t="str">
        <f>IF(OR(ABS(C41)&gt;0,ABS(F41)&gt;0,ABS(K41)&gt;0,ABS(P41)&gt;0),基础信息!$B$1,"")</f>
        <v/>
      </c>
      <c r="B41" s="547"/>
      <c r="C41" s="229">
        <f t="shared" si="9"/>
        <v>0</v>
      </c>
      <c r="D41" s="288"/>
      <c r="E41" s="288"/>
      <c r="F41" s="259">
        <f t="shared" si="10"/>
        <v>0</v>
      </c>
      <c r="G41" s="259">
        <f t="shared" si="11"/>
        <v>0</v>
      </c>
      <c r="H41" s="288"/>
      <c r="I41" s="288"/>
      <c r="J41" s="288"/>
      <c r="K41" s="229">
        <f t="shared" si="12"/>
        <v>0</v>
      </c>
      <c r="L41" s="259">
        <f t="shared" si="13"/>
        <v>0</v>
      </c>
      <c r="M41" s="288"/>
      <c r="N41" s="288"/>
      <c r="O41" s="288"/>
      <c r="P41" s="229">
        <f t="shared" si="14"/>
        <v>0</v>
      </c>
      <c r="Q41" s="229">
        <f t="shared" si="15"/>
        <v>0</v>
      </c>
      <c r="R41" s="229">
        <f t="shared" si="16"/>
        <v>0</v>
      </c>
      <c r="S41" s="229">
        <f>IF(D41&gt;0,D41*所得税项目计算!$F$2,0)</f>
        <v>0</v>
      </c>
      <c r="T41" s="229">
        <f>IF(Q41&gt;0,Q41*所得税项目计算!$F$2,0)</f>
        <v>0</v>
      </c>
      <c r="U41" s="229" t="str">
        <f>IFERROR(VLOOKUP(B41,资产减值损失核对!A:L,2,0),"")</f>
        <v/>
      </c>
      <c r="V41" s="229" t="str">
        <f t="shared" si="0"/>
        <v/>
      </c>
      <c r="W41" s="229" t="str">
        <f>IFERROR(VLOOKUP(B41,资产减值损失核对!A:L,12,0),"")</f>
        <v/>
      </c>
      <c r="X41" s="229" t="str">
        <f t="shared" si="1"/>
        <v/>
      </c>
    </row>
    <row r="42" spans="1:24">
      <c r="A42" s="229" t="str">
        <f>IF(OR(ABS(C42)&gt;0,ABS(F42)&gt;0,ABS(K42)&gt;0,ABS(P42)&gt;0),基础信息!$B$1,"")</f>
        <v/>
      </c>
      <c r="B42" s="547"/>
      <c r="C42" s="229">
        <f t="shared" si="9"/>
        <v>0</v>
      </c>
      <c r="D42" s="288"/>
      <c r="E42" s="288"/>
      <c r="F42" s="259">
        <f t="shared" si="10"/>
        <v>0</v>
      </c>
      <c r="G42" s="259">
        <f t="shared" si="11"/>
        <v>0</v>
      </c>
      <c r="H42" s="288"/>
      <c r="I42" s="288"/>
      <c r="J42" s="288"/>
      <c r="K42" s="229">
        <f t="shared" si="12"/>
        <v>0</v>
      </c>
      <c r="L42" s="259">
        <f t="shared" si="13"/>
        <v>0</v>
      </c>
      <c r="M42" s="288"/>
      <c r="N42" s="288"/>
      <c r="O42" s="288"/>
      <c r="P42" s="229">
        <f t="shared" si="14"/>
        <v>0</v>
      </c>
      <c r="Q42" s="229">
        <f t="shared" si="15"/>
        <v>0</v>
      </c>
      <c r="R42" s="229">
        <f t="shared" si="16"/>
        <v>0</v>
      </c>
      <c r="S42" s="229">
        <f>IF(D42&gt;0,D42*所得税项目计算!$F$2,0)</f>
        <v>0</v>
      </c>
      <c r="T42" s="229">
        <f>IF(Q42&gt;0,Q42*所得税项目计算!$F$2,0)</f>
        <v>0</v>
      </c>
      <c r="U42" s="229" t="str">
        <f>IFERROR(VLOOKUP(B42,资产减值损失核对!A:L,2,0),"")</f>
        <v/>
      </c>
      <c r="V42" s="229" t="str">
        <f t="shared" si="0"/>
        <v/>
      </c>
      <c r="W42" s="229" t="str">
        <f>IFERROR(VLOOKUP(B42,资产减值损失核对!A:L,12,0),"")</f>
        <v/>
      </c>
      <c r="X42" s="229" t="str">
        <f t="shared" si="1"/>
        <v/>
      </c>
    </row>
    <row r="43" spans="1:24">
      <c r="A43" s="229" t="str">
        <f>IF(OR(ABS(C43)&gt;0,ABS(F43)&gt;0,ABS(K43)&gt;0,ABS(P43)&gt;0),基础信息!$B$1,"")</f>
        <v/>
      </c>
      <c r="B43" s="547"/>
      <c r="C43" s="229">
        <f t="shared" si="9"/>
        <v>0</v>
      </c>
      <c r="D43" s="288"/>
      <c r="E43" s="288"/>
      <c r="F43" s="259">
        <f t="shared" si="10"/>
        <v>0</v>
      </c>
      <c r="G43" s="259">
        <f t="shared" si="11"/>
        <v>0</v>
      </c>
      <c r="H43" s="288"/>
      <c r="I43" s="288"/>
      <c r="J43" s="288"/>
      <c r="K43" s="229">
        <f t="shared" si="12"/>
        <v>0</v>
      </c>
      <c r="L43" s="259">
        <f t="shared" si="13"/>
        <v>0</v>
      </c>
      <c r="M43" s="288"/>
      <c r="N43" s="288"/>
      <c r="O43" s="288"/>
      <c r="P43" s="229">
        <f t="shared" si="14"/>
        <v>0</v>
      </c>
      <c r="Q43" s="229">
        <f t="shared" si="15"/>
        <v>0</v>
      </c>
      <c r="R43" s="229">
        <f t="shared" si="16"/>
        <v>0</v>
      </c>
      <c r="S43" s="229">
        <f>IF(D43&gt;0,D43*所得税项目计算!$F$2,0)</f>
        <v>0</v>
      </c>
      <c r="T43" s="229">
        <f>IF(Q43&gt;0,Q43*所得税项目计算!$F$2,0)</f>
        <v>0</v>
      </c>
      <c r="U43" s="229" t="str">
        <f>IFERROR(VLOOKUP(B43,资产减值损失核对!A:L,2,0),"")</f>
        <v/>
      </c>
      <c r="V43" s="229" t="str">
        <f t="shared" si="0"/>
        <v/>
      </c>
      <c r="W43" s="229" t="str">
        <f>IFERROR(VLOOKUP(B43,资产减值损失核对!A:L,12,0),"")</f>
        <v/>
      </c>
      <c r="X43" s="229" t="str">
        <f t="shared" si="1"/>
        <v/>
      </c>
    </row>
    <row r="44" spans="1:24">
      <c r="A44" s="229" t="str">
        <f>IF(OR(ABS(C44)&gt;0,ABS(F44)&gt;0,ABS(K44)&gt;0,ABS(P44)&gt;0),基础信息!$B$1,"")</f>
        <v/>
      </c>
      <c r="B44" s="547"/>
      <c r="C44" s="229">
        <f t="shared" si="9"/>
        <v>0</v>
      </c>
      <c r="D44" s="288"/>
      <c r="E44" s="288"/>
      <c r="F44" s="259">
        <f t="shared" si="10"/>
        <v>0</v>
      </c>
      <c r="G44" s="259">
        <f t="shared" si="11"/>
        <v>0</v>
      </c>
      <c r="H44" s="288"/>
      <c r="I44" s="288"/>
      <c r="J44" s="288"/>
      <c r="K44" s="229">
        <f t="shared" si="12"/>
        <v>0</v>
      </c>
      <c r="L44" s="259">
        <f t="shared" si="13"/>
        <v>0</v>
      </c>
      <c r="M44" s="288"/>
      <c r="N44" s="288"/>
      <c r="O44" s="288"/>
      <c r="P44" s="229">
        <f t="shared" si="14"/>
        <v>0</v>
      </c>
      <c r="Q44" s="229">
        <f t="shared" si="15"/>
        <v>0</v>
      </c>
      <c r="R44" s="229">
        <f t="shared" si="16"/>
        <v>0</v>
      </c>
      <c r="S44" s="229">
        <f>IF(D44&gt;0,D44*所得税项目计算!$F$2,0)</f>
        <v>0</v>
      </c>
      <c r="T44" s="229">
        <f>IF(Q44&gt;0,Q44*所得税项目计算!$F$2,0)</f>
        <v>0</v>
      </c>
      <c r="U44" s="229" t="str">
        <f>IFERROR(VLOOKUP(B44,资产减值损失核对!A:L,2,0),"")</f>
        <v/>
      </c>
      <c r="V44" s="229" t="str">
        <f t="shared" si="0"/>
        <v/>
      </c>
      <c r="W44" s="229" t="str">
        <f>IFERROR(VLOOKUP(B44,资产减值损失核对!A:L,12,0),"")</f>
        <v/>
      </c>
      <c r="X44" s="229" t="str">
        <f t="shared" si="1"/>
        <v/>
      </c>
    </row>
    <row r="45" spans="1:24">
      <c r="A45" s="229" t="str">
        <f>IF(OR(ABS(C45)&gt;0,ABS(F45)&gt;0,ABS(K45)&gt;0,ABS(P45)&gt;0),基础信息!$B$1,"")</f>
        <v/>
      </c>
      <c r="B45" s="547"/>
      <c r="C45" s="229">
        <f t="shared" si="9"/>
        <v>0</v>
      </c>
      <c r="D45" s="288"/>
      <c r="E45" s="288"/>
      <c r="F45" s="259">
        <f t="shared" si="10"/>
        <v>0</v>
      </c>
      <c r="G45" s="259">
        <f t="shared" si="11"/>
        <v>0</v>
      </c>
      <c r="H45" s="288"/>
      <c r="I45" s="288"/>
      <c r="J45" s="288"/>
      <c r="K45" s="229">
        <f t="shared" si="12"/>
        <v>0</v>
      </c>
      <c r="L45" s="259">
        <f t="shared" si="13"/>
        <v>0</v>
      </c>
      <c r="M45" s="288"/>
      <c r="N45" s="288"/>
      <c r="O45" s="288"/>
      <c r="P45" s="229">
        <f t="shared" si="14"/>
        <v>0</v>
      </c>
      <c r="Q45" s="229">
        <f t="shared" si="15"/>
        <v>0</v>
      </c>
      <c r="R45" s="229">
        <f t="shared" si="16"/>
        <v>0</v>
      </c>
      <c r="S45" s="229">
        <f>IF(D45&gt;0,D45*所得税项目计算!$F$2,0)</f>
        <v>0</v>
      </c>
      <c r="T45" s="229">
        <f>IF(Q45&gt;0,Q45*所得税项目计算!$F$2,0)</f>
        <v>0</v>
      </c>
      <c r="U45" s="229" t="str">
        <f>IFERROR(VLOOKUP(B45,资产减值损失核对!A:L,2,0),"")</f>
        <v/>
      </c>
      <c r="V45" s="229" t="str">
        <f t="shared" si="0"/>
        <v/>
      </c>
      <c r="W45" s="229" t="str">
        <f>IFERROR(VLOOKUP(B45,资产减值损失核对!A:L,12,0),"")</f>
        <v/>
      </c>
      <c r="X45" s="229" t="str">
        <f t="shared" si="1"/>
        <v/>
      </c>
    </row>
    <row r="46" spans="1:24">
      <c r="A46" s="229" t="str">
        <f>IF(OR(ABS(C46)&gt;0,ABS(F46)&gt;0,ABS(K46)&gt;0,ABS(P46)&gt;0),基础信息!$B$1,"")</f>
        <v/>
      </c>
      <c r="B46" s="547"/>
      <c r="C46" s="229">
        <f t="shared" si="9"/>
        <v>0</v>
      </c>
      <c r="D46" s="288"/>
      <c r="E46" s="288"/>
      <c r="F46" s="259">
        <f t="shared" si="10"/>
        <v>0</v>
      </c>
      <c r="G46" s="259">
        <f t="shared" si="11"/>
        <v>0</v>
      </c>
      <c r="H46" s="288"/>
      <c r="I46" s="288"/>
      <c r="J46" s="288"/>
      <c r="K46" s="229">
        <f t="shared" si="12"/>
        <v>0</v>
      </c>
      <c r="L46" s="259">
        <f t="shared" si="13"/>
        <v>0</v>
      </c>
      <c r="M46" s="288"/>
      <c r="N46" s="288"/>
      <c r="O46" s="288"/>
      <c r="P46" s="229">
        <f t="shared" si="14"/>
        <v>0</v>
      </c>
      <c r="Q46" s="229">
        <f t="shared" si="15"/>
        <v>0</v>
      </c>
      <c r="R46" s="229">
        <f t="shared" si="16"/>
        <v>0</v>
      </c>
      <c r="S46" s="229">
        <f>IF(D46&gt;0,D46*所得税项目计算!$F$2,0)</f>
        <v>0</v>
      </c>
      <c r="T46" s="229">
        <f>IF(Q46&gt;0,Q46*所得税项目计算!$F$2,0)</f>
        <v>0</v>
      </c>
      <c r="U46" s="229" t="str">
        <f>IFERROR(VLOOKUP(B46,资产减值损失核对!A:L,2,0),"")</f>
        <v/>
      </c>
      <c r="V46" s="229" t="str">
        <f t="shared" si="0"/>
        <v/>
      </c>
      <c r="W46" s="229" t="str">
        <f>IFERROR(VLOOKUP(B46,资产减值损失核对!A:L,12,0),"")</f>
        <v/>
      </c>
      <c r="X46" s="229" t="str">
        <f t="shared" si="1"/>
        <v/>
      </c>
    </row>
    <row r="47" spans="1:24">
      <c r="A47" s="229" t="str">
        <f>IF(OR(ABS(C47)&gt;0,ABS(F47)&gt;0,ABS(K47)&gt;0,ABS(P47)&gt;0),基础信息!$B$1,"")</f>
        <v/>
      </c>
      <c r="B47" s="547"/>
      <c r="C47" s="229">
        <f t="shared" si="9"/>
        <v>0</v>
      </c>
      <c r="D47" s="288"/>
      <c r="E47" s="288"/>
      <c r="F47" s="259">
        <f t="shared" si="10"/>
        <v>0</v>
      </c>
      <c r="G47" s="259">
        <f t="shared" si="11"/>
        <v>0</v>
      </c>
      <c r="H47" s="288"/>
      <c r="I47" s="288"/>
      <c r="J47" s="288"/>
      <c r="K47" s="229">
        <f t="shared" si="12"/>
        <v>0</v>
      </c>
      <c r="L47" s="259">
        <f t="shared" si="13"/>
        <v>0</v>
      </c>
      <c r="M47" s="288"/>
      <c r="N47" s="288"/>
      <c r="O47" s="288"/>
      <c r="P47" s="229">
        <f t="shared" si="14"/>
        <v>0</v>
      </c>
      <c r="Q47" s="229">
        <f t="shared" si="15"/>
        <v>0</v>
      </c>
      <c r="R47" s="229">
        <f t="shared" si="16"/>
        <v>0</v>
      </c>
      <c r="S47" s="229">
        <f>IF(D47&gt;0,D47*所得税项目计算!$F$2,0)</f>
        <v>0</v>
      </c>
      <c r="T47" s="229">
        <f>IF(Q47&gt;0,Q47*所得税项目计算!$F$2,0)</f>
        <v>0</v>
      </c>
      <c r="U47" s="229" t="str">
        <f>IFERROR(VLOOKUP(B47,资产减值损失核对!A:L,2,0),"")</f>
        <v/>
      </c>
      <c r="V47" s="229" t="str">
        <f t="shared" si="0"/>
        <v/>
      </c>
      <c r="W47" s="229" t="str">
        <f>IFERROR(VLOOKUP(B47,资产减值损失核对!A:L,12,0),"")</f>
        <v/>
      </c>
      <c r="X47" s="229"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E4C81-D9AE-4D83-88C0-1DB9807EAF17}">
          <x14:formula1>
            <xm:f>分类表!$108:$108</xm:f>
          </x14:formula1>
          <xm:sqref>B2:B47</xm:sqref>
        </x14:dataValidation>
      </x14:dataValidations>
    </ext>
  </extLst>
</worksheet>
</file>

<file path=xl/worksheets/sheet3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603B-2148-4AB3-93AE-9DD8BD05F0EA}">
  <sheetPr codeName="Sheet336"/>
  <dimension ref="A1:T68"/>
  <sheetViews>
    <sheetView workbookViewId="0">
      <pane xSplit="2" ySplit="1" topLeftCell="M2" activePane="bottomRight" state="frozen"/>
      <selection activeCell="D22" sqref="D22"/>
      <selection pane="topRight" activeCell="D22" sqref="D22"/>
      <selection pane="bottomLeft" activeCell="D22" sqref="D22"/>
      <selection pane="bottomRight" activeCell="A19" sqref="A19"/>
    </sheetView>
  </sheetViews>
  <sheetFormatPr defaultColWidth="12.109375" defaultRowHeight="13.8"/>
  <cols>
    <col min="1" max="1" width="34.88671875" style="229" bestFit="1" customWidth="1"/>
    <col min="2" max="2" width="70" style="229" bestFit="1" customWidth="1"/>
    <col min="3" max="3" width="20" style="229" bestFit="1" customWidth="1"/>
    <col min="4" max="4" width="11.21875" style="229" bestFit="1" customWidth="1"/>
    <col min="5" max="15" width="12.109375" style="229"/>
    <col min="16" max="16" width="14.33203125" style="229" bestFit="1" customWidth="1"/>
    <col min="17" max="17" width="11.21875" style="229" bestFit="1" customWidth="1"/>
    <col min="18" max="18" width="13.6640625" style="229" customWidth="1"/>
    <col min="19" max="16384" width="12.109375" style="229"/>
  </cols>
  <sheetData>
    <row r="1" spans="1:20" s="519" customFormat="1" ht="27.6">
      <c r="A1" s="519" t="s">
        <v>3888</v>
      </c>
      <c r="B1" s="519" t="s">
        <v>95</v>
      </c>
      <c r="C1" s="519" t="s">
        <v>3046</v>
      </c>
      <c r="D1" s="519" t="s">
        <v>3063</v>
      </c>
      <c r="E1" s="519" t="s">
        <v>3062</v>
      </c>
      <c r="F1" s="519" t="s">
        <v>3045</v>
      </c>
      <c r="G1" s="519" t="s">
        <v>3061</v>
      </c>
      <c r="H1" s="519" t="s">
        <v>3586</v>
      </c>
      <c r="I1" s="519" t="s">
        <v>3587</v>
      </c>
      <c r="J1" s="519" t="s">
        <v>3060</v>
      </c>
      <c r="K1" s="519" t="s">
        <v>3047</v>
      </c>
      <c r="L1" s="519" t="s">
        <v>3059</v>
      </c>
      <c r="M1" s="519" t="s">
        <v>3588</v>
      </c>
      <c r="N1" s="519" t="s">
        <v>3589</v>
      </c>
      <c r="O1" s="519" t="s">
        <v>3058</v>
      </c>
      <c r="P1" s="519" t="s">
        <v>3044</v>
      </c>
      <c r="Q1" s="519" t="s">
        <v>3056</v>
      </c>
      <c r="R1" s="519" t="s">
        <v>3057</v>
      </c>
      <c r="S1" s="519" t="s">
        <v>488</v>
      </c>
      <c r="T1" s="519" t="s">
        <v>486</v>
      </c>
    </row>
    <row r="2" spans="1:20">
      <c r="A2" s="229" t="str">
        <f>IF(OR(ABS(C2)&gt;0,ABS(F2)&gt;0,ABS(K2)&gt;0,ABS(P2)&gt;0),基础信息!$B$1,"")</f>
        <v/>
      </c>
      <c r="B2" s="547" t="s">
        <v>3893</v>
      </c>
      <c r="C2" s="259">
        <f>D2+E2</f>
        <v>0</v>
      </c>
      <c r="D2" s="288"/>
      <c r="E2" s="288"/>
      <c r="F2" s="259">
        <f>G2+J2</f>
        <v>0</v>
      </c>
      <c r="G2" s="259">
        <f>SUM(H2:I2)</f>
        <v>0</v>
      </c>
      <c r="H2" s="288"/>
      <c r="I2" s="288"/>
      <c r="J2" s="288"/>
      <c r="K2" s="288"/>
      <c r="L2" s="259">
        <f>SUM(M2:N2)</f>
        <v>0</v>
      </c>
      <c r="M2" s="288"/>
      <c r="N2" s="288"/>
      <c r="O2" s="288"/>
      <c r="P2" s="229">
        <f>C2+F2-K2</f>
        <v>0</v>
      </c>
      <c r="Q2" s="229">
        <f>D2+G2-L2</f>
        <v>0</v>
      </c>
      <c r="R2" s="229">
        <f>E2+J2-O2</f>
        <v>0</v>
      </c>
      <c r="S2" s="229">
        <f>D2*所得税项目计算!$F$2</f>
        <v>0</v>
      </c>
      <c r="T2" s="229">
        <f>Q2*所得税项目计算!$F$2</f>
        <v>0</v>
      </c>
    </row>
    <row r="3" spans="1:20">
      <c r="A3" s="229" t="str">
        <f>IF(OR(ABS(C3)&gt;0,ABS(F3)&gt;0,ABS(K3)&gt;0,ABS(P3)&gt;0),基础信息!$B$1,"")</f>
        <v/>
      </c>
      <c r="B3" s="547" t="s">
        <v>3894</v>
      </c>
      <c r="C3" s="259">
        <f t="shared" ref="C3:C66" si="0">D3+E3</f>
        <v>0</v>
      </c>
      <c r="D3" s="288"/>
      <c r="E3" s="288"/>
      <c r="F3" s="259">
        <f t="shared" ref="F3:F66" si="1">G3+J3</f>
        <v>0</v>
      </c>
      <c r="G3" s="259">
        <f t="shared" ref="G3:G57" si="2">SUM(H3:I3)</f>
        <v>0</v>
      </c>
      <c r="H3" s="288"/>
      <c r="I3" s="288"/>
      <c r="J3" s="288"/>
      <c r="K3" s="288"/>
      <c r="L3" s="259">
        <f t="shared" ref="L3:L57" si="3">SUM(M3:N3)</f>
        <v>0</v>
      </c>
      <c r="M3" s="288"/>
      <c r="N3" s="288"/>
      <c r="O3" s="288"/>
      <c r="P3" s="229">
        <f t="shared" ref="P3:Q36" si="4">C3+F3-K3</f>
        <v>0</v>
      </c>
      <c r="Q3" s="229">
        <f t="shared" si="4"/>
        <v>0</v>
      </c>
      <c r="R3" s="229">
        <f t="shared" ref="R3:R57" si="5">E3+J3-O3</f>
        <v>0</v>
      </c>
      <c r="S3" s="229">
        <f>D3*所得税项目计算!$F$2</f>
        <v>0</v>
      </c>
      <c r="T3" s="229">
        <f>Q3*所得税项目计算!$F$2</f>
        <v>0</v>
      </c>
    </row>
    <row r="4" spans="1:20">
      <c r="A4" s="229" t="str">
        <f>IF(OR(ABS(C4)&gt;0,ABS(F4)&gt;0,ABS(K4)&gt;0,ABS(P4)&gt;0),基础信息!$B$1,"")</f>
        <v/>
      </c>
      <c r="B4" s="547" t="s">
        <v>3895</v>
      </c>
      <c r="C4" s="259">
        <f t="shared" si="0"/>
        <v>0</v>
      </c>
      <c r="D4" s="288"/>
      <c r="E4" s="288"/>
      <c r="F4" s="259">
        <f t="shared" si="1"/>
        <v>0</v>
      </c>
      <c r="G4" s="259">
        <f t="shared" si="2"/>
        <v>0</v>
      </c>
      <c r="H4" s="288"/>
      <c r="I4" s="288"/>
      <c r="J4" s="288"/>
      <c r="K4" s="288"/>
      <c r="L4" s="259">
        <f t="shared" si="3"/>
        <v>0</v>
      </c>
      <c r="M4" s="288"/>
      <c r="N4" s="288"/>
      <c r="O4" s="288"/>
      <c r="P4" s="229">
        <f t="shared" si="4"/>
        <v>0</v>
      </c>
      <c r="Q4" s="229">
        <f t="shared" si="4"/>
        <v>0</v>
      </c>
      <c r="R4" s="229">
        <f t="shared" si="5"/>
        <v>0</v>
      </c>
      <c r="S4" s="229">
        <f>D4*所得税项目计算!$F$2</f>
        <v>0</v>
      </c>
      <c r="T4" s="229">
        <f>Q4*所得税项目计算!$F$2</f>
        <v>0</v>
      </c>
    </row>
    <row r="5" spans="1:20">
      <c r="A5" s="229" t="str">
        <f>IF(OR(ABS(C5)&gt;0,ABS(F5)&gt;0,ABS(K5)&gt;0,ABS(P5)&gt;0),基础信息!$B$1,"")</f>
        <v/>
      </c>
      <c r="B5" s="547" t="s">
        <v>3896</v>
      </c>
      <c r="C5" s="259">
        <f t="shared" si="0"/>
        <v>0</v>
      </c>
      <c r="D5" s="288"/>
      <c r="E5" s="288"/>
      <c r="F5" s="259">
        <f t="shared" si="1"/>
        <v>0</v>
      </c>
      <c r="G5" s="259">
        <f t="shared" si="2"/>
        <v>0</v>
      </c>
      <c r="H5" s="288"/>
      <c r="I5" s="288"/>
      <c r="J5" s="288"/>
      <c r="K5" s="288"/>
      <c r="L5" s="259">
        <f t="shared" si="3"/>
        <v>0</v>
      </c>
      <c r="M5" s="288"/>
      <c r="N5" s="288"/>
      <c r="O5" s="288"/>
      <c r="P5" s="229">
        <f t="shared" si="4"/>
        <v>0</v>
      </c>
      <c r="Q5" s="229">
        <f t="shared" si="4"/>
        <v>0</v>
      </c>
      <c r="R5" s="229">
        <f t="shared" si="5"/>
        <v>0</v>
      </c>
      <c r="S5" s="229">
        <f>D5*所得税项目计算!$F$2</f>
        <v>0</v>
      </c>
      <c r="T5" s="229">
        <f>Q5*所得税项目计算!$F$2</f>
        <v>0</v>
      </c>
    </row>
    <row r="6" spans="1:20">
      <c r="A6" s="229" t="str">
        <f>IF(OR(ABS(C6)&gt;0,ABS(F6)&gt;0,ABS(K6)&gt;0,ABS(P6)&gt;0),基础信息!$B$1,"")</f>
        <v/>
      </c>
      <c r="B6" s="547" t="s">
        <v>3897</v>
      </c>
      <c r="C6" s="259">
        <f t="shared" si="0"/>
        <v>0</v>
      </c>
      <c r="D6" s="288"/>
      <c r="E6" s="288"/>
      <c r="F6" s="259">
        <f t="shared" si="1"/>
        <v>0</v>
      </c>
      <c r="G6" s="259">
        <f t="shared" si="2"/>
        <v>0</v>
      </c>
      <c r="H6" s="288"/>
      <c r="I6" s="288"/>
      <c r="J6" s="288"/>
      <c r="K6" s="288"/>
      <c r="L6" s="259">
        <f t="shared" si="3"/>
        <v>0</v>
      </c>
      <c r="M6" s="288"/>
      <c r="N6" s="288"/>
      <c r="O6" s="288"/>
      <c r="P6" s="229">
        <f t="shared" si="4"/>
        <v>0</v>
      </c>
      <c r="Q6" s="229">
        <f t="shared" si="4"/>
        <v>0</v>
      </c>
      <c r="R6" s="229">
        <f t="shared" si="5"/>
        <v>0</v>
      </c>
      <c r="S6" s="229">
        <f>D6*所得税项目计算!$F$2</f>
        <v>0</v>
      </c>
      <c r="T6" s="229">
        <f>Q6*所得税项目计算!$F$2</f>
        <v>0</v>
      </c>
    </row>
    <row r="7" spans="1:20">
      <c r="A7" s="229" t="str">
        <f>IF(OR(ABS(C7)&gt;0,ABS(F7)&gt;0,ABS(K7)&gt;0,ABS(P7)&gt;0),基础信息!$B$1,"")</f>
        <v/>
      </c>
      <c r="B7" s="547" t="s">
        <v>3898</v>
      </c>
      <c r="C7" s="259">
        <f t="shared" si="0"/>
        <v>0</v>
      </c>
      <c r="D7" s="288"/>
      <c r="E7" s="288"/>
      <c r="F7" s="259">
        <f t="shared" si="1"/>
        <v>0</v>
      </c>
      <c r="G7" s="259">
        <f t="shared" si="2"/>
        <v>0</v>
      </c>
      <c r="H7" s="288"/>
      <c r="I7" s="288"/>
      <c r="J7" s="288"/>
      <c r="K7" s="288"/>
      <c r="L7" s="259">
        <f t="shared" si="3"/>
        <v>0</v>
      </c>
      <c r="M7" s="288"/>
      <c r="N7" s="288"/>
      <c r="O7" s="288"/>
      <c r="P7" s="229">
        <f t="shared" si="4"/>
        <v>0</v>
      </c>
      <c r="Q7" s="229">
        <f t="shared" si="4"/>
        <v>0</v>
      </c>
      <c r="R7" s="229">
        <f t="shared" si="5"/>
        <v>0</v>
      </c>
      <c r="S7" s="229">
        <f>D7*所得税项目计算!$F$2</f>
        <v>0</v>
      </c>
      <c r="T7" s="229">
        <f>Q7*所得税项目计算!$F$2</f>
        <v>0</v>
      </c>
    </row>
    <row r="8" spans="1:20">
      <c r="A8" s="229" t="str">
        <f>IF(OR(ABS(C8)&gt;0,ABS(F8)&gt;0,ABS(K8)&gt;0,ABS(P8)&gt;0),基础信息!$B$1,"")</f>
        <v/>
      </c>
      <c r="B8" s="547"/>
      <c r="C8" s="259">
        <f t="shared" si="0"/>
        <v>0</v>
      </c>
      <c r="D8" s="288"/>
      <c r="E8" s="288"/>
      <c r="F8" s="259">
        <f t="shared" si="1"/>
        <v>0</v>
      </c>
      <c r="G8" s="259">
        <f t="shared" si="2"/>
        <v>0</v>
      </c>
      <c r="H8" s="288"/>
      <c r="I8" s="288"/>
      <c r="J8" s="288"/>
      <c r="K8" s="288"/>
      <c r="L8" s="259">
        <f t="shared" si="3"/>
        <v>0</v>
      </c>
      <c r="M8" s="288"/>
      <c r="N8" s="288"/>
      <c r="O8" s="288"/>
      <c r="P8" s="229">
        <f t="shared" si="4"/>
        <v>0</v>
      </c>
      <c r="Q8" s="229">
        <f t="shared" si="4"/>
        <v>0</v>
      </c>
      <c r="R8" s="229">
        <f t="shared" si="5"/>
        <v>0</v>
      </c>
      <c r="S8" s="229">
        <f>D8*所得税项目计算!$F$2</f>
        <v>0</v>
      </c>
      <c r="T8" s="229">
        <f>Q8*所得税项目计算!$F$2</f>
        <v>0</v>
      </c>
    </row>
    <row r="9" spans="1:20">
      <c r="A9" s="229" t="str">
        <f>IF(OR(ABS(C9)&gt;0,ABS(F9)&gt;0,ABS(K9)&gt;0,ABS(P9)&gt;0),基础信息!$B$1,"")</f>
        <v/>
      </c>
      <c r="B9" s="547"/>
      <c r="C9" s="259">
        <f t="shared" si="0"/>
        <v>0</v>
      </c>
      <c r="D9" s="288"/>
      <c r="E9" s="288"/>
      <c r="F9" s="259">
        <f t="shared" si="1"/>
        <v>0</v>
      </c>
      <c r="G9" s="259">
        <f t="shared" si="2"/>
        <v>0</v>
      </c>
      <c r="H9" s="288"/>
      <c r="I9" s="288"/>
      <c r="J9" s="288"/>
      <c r="K9" s="288"/>
      <c r="L9" s="259">
        <f t="shared" si="3"/>
        <v>0</v>
      </c>
      <c r="M9" s="288"/>
      <c r="N9" s="288"/>
      <c r="O9" s="288"/>
      <c r="P9" s="229">
        <f t="shared" si="4"/>
        <v>0</v>
      </c>
      <c r="Q9" s="229">
        <f t="shared" si="4"/>
        <v>0</v>
      </c>
      <c r="R9" s="229">
        <f t="shared" si="5"/>
        <v>0</v>
      </c>
      <c r="S9" s="229">
        <f>D9*所得税项目计算!$F$2</f>
        <v>0</v>
      </c>
      <c r="T9" s="229">
        <f>Q9*所得税项目计算!$F$2</f>
        <v>0</v>
      </c>
    </row>
    <row r="10" spans="1:20">
      <c r="A10" s="229" t="str">
        <f>IF(OR(ABS(C10)&gt;0,ABS(F10)&gt;0,ABS(K10)&gt;0,ABS(P10)&gt;0),基础信息!$B$1,"")</f>
        <v/>
      </c>
      <c r="B10" s="547"/>
      <c r="C10" s="259">
        <f t="shared" si="0"/>
        <v>0</v>
      </c>
      <c r="D10" s="288"/>
      <c r="E10" s="288"/>
      <c r="F10" s="259">
        <f t="shared" si="1"/>
        <v>0</v>
      </c>
      <c r="G10" s="259">
        <f t="shared" si="2"/>
        <v>0</v>
      </c>
      <c r="H10" s="288"/>
      <c r="I10" s="288"/>
      <c r="J10" s="288"/>
      <c r="K10" s="288"/>
      <c r="L10" s="259">
        <f t="shared" si="3"/>
        <v>0</v>
      </c>
      <c r="M10" s="288"/>
      <c r="N10" s="288"/>
      <c r="O10" s="288"/>
      <c r="P10" s="229">
        <f t="shared" si="4"/>
        <v>0</v>
      </c>
      <c r="Q10" s="229">
        <f t="shared" si="4"/>
        <v>0</v>
      </c>
      <c r="R10" s="229">
        <f t="shared" si="5"/>
        <v>0</v>
      </c>
      <c r="S10" s="229">
        <f>D10*所得税项目计算!$F$2</f>
        <v>0</v>
      </c>
      <c r="T10" s="229">
        <f>Q10*所得税项目计算!$F$2</f>
        <v>0</v>
      </c>
    </row>
    <row r="11" spans="1:20">
      <c r="A11" s="229" t="str">
        <f>IF(OR(ABS(C11)&gt;0,ABS(F11)&gt;0,ABS(K11)&gt;0,ABS(P11)&gt;0),基础信息!$B$1,"")</f>
        <v/>
      </c>
      <c r="B11" s="547"/>
      <c r="C11" s="259">
        <f t="shared" si="0"/>
        <v>0</v>
      </c>
      <c r="D11" s="288"/>
      <c r="E11" s="288"/>
      <c r="F11" s="259">
        <f t="shared" si="1"/>
        <v>0</v>
      </c>
      <c r="G11" s="259">
        <f t="shared" si="2"/>
        <v>0</v>
      </c>
      <c r="H11" s="288"/>
      <c r="I11" s="288"/>
      <c r="J11" s="288"/>
      <c r="K11" s="288"/>
      <c r="L11" s="259">
        <f t="shared" si="3"/>
        <v>0</v>
      </c>
      <c r="M11" s="288"/>
      <c r="N11" s="288"/>
      <c r="O11" s="288"/>
      <c r="P11" s="229">
        <f t="shared" si="4"/>
        <v>0</v>
      </c>
      <c r="Q11" s="229">
        <f t="shared" si="4"/>
        <v>0</v>
      </c>
      <c r="R11" s="229">
        <f t="shared" si="5"/>
        <v>0</v>
      </c>
      <c r="S11" s="229">
        <f>D11*所得税项目计算!$F$2</f>
        <v>0</v>
      </c>
      <c r="T11" s="229">
        <f>Q11*所得税项目计算!$F$2</f>
        <v>0</v>
      </c>
    </row>
    <row r="12" spans="1:20">
      <c r="A12" s="229" t="str">
        <f>IF(OR(ABS(C12)&gt;0,ABS(F12)&gt;0,ABS(K12)&gt;0,ABS(P12)&gt;0),基础信息!$B$1,"")</f>
        <v/>
      </c>
      <c r="B12" s="547"/>
      <c r="C12" s="259">
        <f t="shared" si="0"/>
        <v>0</v>
      </c>
      <c r="D12" s="288"/>
      <c r="E12" s="288"/>
      <c r="F12" s="259">
        <f t="shared" si="1"/>
        <v>0</v>
      </c>
      <c r="G12" s="259">
        <f t="shared" si="2"/>
        <v>0</v>
      </c>
      <c r="H12" s="288"/>
      <c r="I12" s="288"/>
      <c r="J12" s="288"/>
      <c r="K12" s="288"/>
      <c r="L12" s="259">
        <f t="shared" si="3"/>
        <v>0</v>
      </c>
      <c r="M12" s="288"/>
      <c r="N12" s="288"/>
      <c r="O12" s="288"/>
      <c r="P12" s="229">
        <f t="shared" si="4"/>
        <v>0</v>
      </c>
      <c r="Q12" s="229">
        <f t="shared" si="4"/>
        <v>0</v>
      </c>
      <c r="R12" s="229">
        <f t="shared" si="5"/>
        <v>0</v>
      </c>
      <c r="S12" s="229">
        <f>D12*所得税项目计算!$F$2</f>
        <v>0</v>
      </c>
      <c r="T12" s="229">
        <f>Q12*所得税项目计算!$F$2</f>
        <v>0</v>
      </c>
    </row>
    <row r="13" spans="1:20">
      <c r="A13" s="229" t="str">
        <f>IF(OR(ABS(C13)&gt;0,ABS(F13)&gt;0,ABS(K13)&gt;0,ABS(P13)&gt;0),基础信息!$B$1,"")</f>
        <v/>
      </c>
      <c r="B13" s="547"/>
      <c r="C13" s="259">
        <f t="shared" si="0"/>
        <v>0</v>
      </c>
      <c r="D13" s="288"/>
      <c r="E13" s="288"/>
      <c r="F13" s="259">
        <f t="shared" si="1"/>
        <v>0</v>
      </c>
      <c r="G13" s="259">
        <f t="shared" si="2"/>
        <v>0</v>
      </c>
      <c r="H13" s="288"/>
      <c r="I13" s="288"/>
      <c r="J13" s="288"/>
      <c r="K13" s="288"/>
      <c r="L13" s="259">
        <f t="shared" si="3"/>
        <v>0</v>
      </c>
      <c r="M13" s="288"/>
      <c r="N13" s="288"/>
      <c r="O13" s="288"/>
      <c r="P13" s="229">
        <f t="shared" si="4"/>
        <v>0</v>
      </c>
      <c r="Q13" s="229">
        <f t="shared" si="4"/>
        <v>0</v>
      </c>
      <c r="R13" s="229">
        <f t="shared" si="5"/>
        <v>0</v>
      </c>
      <c r="S13" s="229">
        <f>D13*所得税项目计算!$F$2</f>
        <v>0</v>
      </c>
      <c r="T13" s="229">
        <f>Q13*所得税项目计算!$F$2</f>
        <v>0</v>
      </c>
    </row>
    <row r="14" spans="1:20">
      <c r="A14" s="229" t="str">
        <f>IF(OR(ABS(C14)&gt;0,ABS(F14)&gt;0,ABS(K14)&gt;0,ABS(P14)&gt;0),基础信息!$B$1,"")</f>
        <v/>
      </c>
      <c r="B14" s="547"/>
      <c r="C14" s="259">
        <f t="shared" si="0"/>
        <v>0</v>
      </c>
      <c r="D14" s="288"/>
      <c r="E14" s="288"/>
      <c r="F14" s="259">
        <f t="shared" si="1"/>
        <v>0</v>
      </c>
      <c r="G14" s="259">
        <f t="shared" si="2"/>
        <v>0</v>
      </c>
      <c r="H14" s="288"/>
      <c r="I14" s="288"/>
      <c r="J14" s="288"/>
      <c r="K14" s="288"/>
      <c r="L14" s="259">
        <f t="shared" si="3"/>
        <v>0</v>
      </c>
      <c r="M14" s="288"/>
      <c r="N14" s="288"/>
      <c r="O14" s="288"/>
      <c r="P14" s="229">
        <f t="shared" si="4"/>
        <v>0</v>
      </c>
      <c r="Q14" s="229">
        <f t="shared" si="4"/>
        <v>0</v>
      </c>
      <c r="R14" s="229">
        <f t="shared" si="5"/>
        <v>0</v>
      </c>
      <c r="S14" s="229">
        <f>D14*所得税项目计算!$F$2</f>
        <v>0</v>
      </c>
      <c r="T14" s="229">
        <f>Q14*所得税项目计算!$F$2</f>
        <v>0</v>
      </c>
    </row>
    <row r="15" spans="1:20">
      <c r="A15" s="229" t="str">
        <f>IF(OR(ABS(C15)&gt;0,ABS(F15)&gt;0,ABS(K15)&gt;0,ABS(P15)&gt;0),基础信息!$B$1,"")</f>
        <v/>
      </c>
      <c r="B15" s="547"/>
      <c r="C15" s="259">
        <f t="shared" si="0"/>
        <v>0</v>
      </c>
      <c r="D15" s="288"/>
      <c r="E15" s="288"/>
      <c r="F15" s="259">
        <f t="shared" si="1"/>
        <v>0</v>
      </c>
      <c r="G15" s="259">
        <f t="shared" si="2"/>
        <v>0</v>
      </c>
      <c r="H15" s="288"/>
      <c r="I15" s="288"/>
      <c r="J15" s="288"/>
      <c r="K15" s="288"/>
      <c r="L15" s="259">
        <f t="shared" si="3"/>
        <v>0</v>
      </c>
      <c r="M15" s="288"/>
      <c r="N15" s="288"/>
      <c r="O15" s="288"/>
      <c r="P15" s="229">
        <f t="shared" si="4"/>
        <v>0</v>
      </c>
      <c r="Q15" s="229">
        <f t="shared" si="4"/>
        <v>0</v>
      </c>
      <c r="R15" s="229">
        <f t="shared" si="5"/>
        <v>0</v>
      </c>
      <c r="S15" s="229">
        <f>D15*所得税项目计算!$F$2</f>
        <v>0</v>
      </c>
      <c r="T15" s="229">
        <f>Q15*所得税项目计算!$F$2</f>
        <v>0</v>
      </c>
    </row>
    <row r="16" spans="1:20">
      <c r="A16" s="229" t="str">
        <f>IF(OR(ABS(C16)&gt;0,ABS(F16)&gt;0,ABS(K16)&gt;0,ABS(P16)&gt;0),基础信息!$B$1,"")</f>
        <v/>
      </c>
      <c r="B16" s="547"/>
      <c r="C16" s="259">
        <f t="shared" si="0"/>
        <v>0</v>
      </c>
      <c r="D16" s="288"/>
      <c r="E16" s="288"/>
      <c r="F16" s="259">
        <f t="shared" si="1"/>
        <v>0</v>
      </c>
      <c r="G16" s="259">
        <f t="shared" si="2"/>
        <v>0</v>
      </c>
      <c r="H16" s="288"/>
      <c r="I16" s="288"/>
      <c r="J16" s="288"/>
      <c r="K16" s="288"/>
      <c r="L16" s="259">
        <f t="shared" si="3"/>
        <v>0</v>
      </c>
      <c r="M16" s="288"/>
      <c r="N16" s="288"/>
      <c r="O16" s="288"/>
      <c r="P16" s="229">
        <f t="shared" si="4"/>
        <v>0</v>
      </c>
      <c r="Q16" s="229">
        <f t="shared" si="4"/>
        <v>0</v>
      </c>
      <c r="R16" s="229">
        <f t="shared" si="5"/>
        <v>0</v>
      </c>
      <c r="S16" s="229">
        <f>D16*所得税项目计算!$F$2</f>
        <v>0</v>
      </c>
      <c r="T16" s="229">
        <f>Q16*所得税项目计算!$F$2</f>
        <v>0</v>
      </c>
    </row>
    <row r="17" spans="1:20">
      <c r="A17" s="229" t="str">
        <f>IF(OR(ABS(C17)&gt;0,ABS(F17)&gt;0,ABS(K17)&gt;0,ABS(P17)&gt;0),基础信息!$B$1,"")</f>
        <v/>
      </c>
      <c r="B17" s="547"/>
      <c r="C17" s="259">
        <f t="shared" si="0"/>
        <v>0</v>
      </c>
      <c r="D17" s="288"/>
      <c r="E17" s="288"/>
      <c r="F17" s="259">
        <f t="shared" si="1"/>
        <v>0</v>
      </c>
      <c r="G17" s="259">
        <f t="shared" si="2"/>
        <v>0</v>
      </c>
      <c r="H17" s="288"/>
      <c r="I17" s="288"/>
      <c r="J17" s="288"/>
      <c r="K17" s="288"/>
      <c r="L17" s="259">
        <f t="shared" si="3"/>
        <v>0</v>
      </c>
      <c r="M17" s="288"/>
      <c r="N17" s="288"/>
      <c r="O17" s="288"/>
      <c r="P17" s="229">
        <f t="shared" si="4"/>
        <v>0</v>
      </c>
      <c r="Q17" s="229">
        <f t="shared" si="4"/>
        <v>0</v>
      </c>
      <c r="R17" s="229">
        <f t="shared" si="5"/>
        <v>0</v>
      </c>
      <c r="S17" s="229">
        <f>D17*所得税项目计算!$F$2</f>
        <v>0</v>
      </c>
      <c r="T17" s="229">
        <f>Q17*所得税项目计算!$F$2</f>
        <v>0</v>
      </c>
    </row>
    <row r="18" spans="1:20">
      <c r="A18" s="229" t="str">
        <f>IF(OR(ABS(C18)&gt;0,ABS(F18)&gt;0,ABS(K18)&gt;0,ABS(P18)&gt;0),基础信息!$B$1,"")</f>
        <v/>
      </c>
      <c r="B18" s="547"/>
      <c r="C18" s="259">
        <f t="shared" si="0"/>
        <v>0</v>
      </c>
      <c r="D18" s="288"/>
      <c r="E18" s="288"/>
      <c r="F18" s="259">
        <f t="shared" si="1"/>
        <v>0</v>
      </c>
      <c r="G18" s="259">
        <f t="shared" si="2"/>
        <v>0</v>
      </c>
      <c r="H18" s="288"/>
      <c r="I18" s="288"/>
      <c r="J18" s="288"/>
      <c r="K18" s="288"/>
      <c r="L18" s="259">
        <f t="shared" si="3"/>
        <v>0</v>
      </c>
      <c r="M18" s="288"/>
      <c r="N18" s="288"/>
      <c r="O18" s="288"/>
      <c r="P18" s="229">
        <f t="shared" si="4"/>
        <v>0</v>
      </c>
      <c r="Q18" s="229">
        <f t="shared" si="4"/>
        <v>0</v>
      </c>
      <c r="R18" s="229">
        <f t="shared" si="5"/>
        <v>0</v>
      </c>
      <c r="S18" s="229">
        <f>D18*所得税项目计算!$F$2</f>
        <v>0</v>
      </c>
      <c r="T18" s="229">
        <f>Q18*所得税项目计算!$F$2</f>
        <v>0</v>
      </c>
    </row>
    <row r="19" spans="1:20">
      <c r="A19" s="229" t="str">
        <f>IF(OR(ABS(C19)&gt;0,ABS(F19)&gt;0,ABS(K19)&gt;0,ABS(P19)&gt;0),基础信息!$B$1,"")</f>
        <v/>
      </c>
      <c r="B19" s="547"/>
      <c r="C19" s="259">
        <f t="shared" si="0"/>
        <v>0</v>
      </c>
      <c r="D19" s="288"/>
      <c r="E19" s="288"/>
      <c r="F19" s="259">
        <f t="shared" si="1"/>
        <v>0</v>
      </c>
      <c r="G19" s="259">
        <f t="shared" si="2"/>
        <v>0</v>
      </c>
      <c r="H19" s="288"/>
      <c r="I19" s="288"/>
      <c r="J19" s="288"/>
      <c r="K19" s="288"/>
      <c r="L19" s="259">
        <f t="shared" si="3"/>
        <v>0</v>
      </c>
      <c r="M19" s="288"/>
      <c r="N19" s="288"/>
      <c r="O19" s="288"/>
      <c r="P19" s="229">
        <f t="shared" si="4"/>
        <v>0</v>
      </c>
      <c r="Q19" s="229">
        <f t="shared" si="4"/>
        <v>0</v>
      </c>
      <c r="R19" s="229">
        <f t="shared" si="5"/>
        <v>0</v>
      </c>
      <c r="S19" s="229">
        <f>D19*所得税项目计算!$F$2</f>
        <v>0</v>
      </c>
      <c r="T19" s="229">
        <f>Q19*所得税项目计算!$F$2</f>
        <v>0</v>
      </c>
    </row>
    <row r="20" spans="1:20">
      <c r="A20" s="229" t="str">
        <f>IF(OR(ABS(C20)&gt;0,ABS(F20)&gt;0,ABS(K20)&gt;0,ABS(P20)&gt;0),基础信息!$B$1,"")</f>
        <v/>
      </c>
      <c r="B20" s="547"/>
      <c r="C20" s="259">
        <f t="shared" si="0"/>
        <v>0</v>
      </c>
      <c r="D20" s="288"/>
      <c r="E20" s="288"/>
      <c r="F20" s="259">
        <f t="shared" si="1"/>
        <v>0</v>
      </c>
      <c r="G20" s="259">
        <f t="shared" si="2"/>
        <v>0</v>
      </c>
      <c r="H20" s="288"/>
      <c r="I20" s="288"/>
      <c r="J20" s="288"/>
      <c r="K20" s="288"/>
      <c r="L20" s="259">
        <f t="shared" si="3"/>
        <v>0</v>
      </c>
      <c r="M20" s="288"/>
      <c r="N20" s="288"/>
      <c r="O20" s="288"/>
      <c r="P20" s="229">
        <f t="shared" si="4"/>
        <v>0</v>
      </c>
      <c r="Q20" s="229">
        <f t="shared" si="4"/>
        <v>0</v>
      </c>
      <c r="R20" s="229">
        <f t="shared" si="5"/>
        <v>0</v>
      </c>
      <c r="S20" s="229">
        <f>D20*所得税项目计算!$F$2</f>
        <v>0</v>
      </c>
      <c r="T20" s="229">
        <f>Q20*所得税项目计算!$F$2</f>
        <v>0</v>
      </c>
    </row>
    <row r="21" spans="1:20">
      <c r="A21" s="229" t="str">
        <f>IF(OR(ABS(C21)&gt;0,ABS(F21)&gt;0,ABS(K21)&gt;0,ABS(P21)&gt;0),基础信息!$B$1,"")</f>
        <v/>
      </c>
      <c r="B21" s="547"/>
      <c r="C21" s="259">
        <f t="shared" si="0"/>
        <v>0</v>
      </c>
      <c r="D21" s="288"/>
      <c r="E21" s="288"/>
      <c r="F21" s="259">
        <f t="shared" si="1"/>
        <v>0</v>
      </c>
      <c r="G21" s="259">
        <f t="shared" si="2"/>
        <v>0</v>
      </c>
      <c r="H21" s="288"/>
      <c r="I21" s="288"/>
      <c r="J21" s="288"/>
      <c r="K21" s="288"/>
      <c r="L21" s="259">
        <f t="shared" si="3"/>
        <v>0</v>
      </c>
      <c r="M21" s="288"/>
      <c r="N21" s="288"/>
      <c r="O21" s="288"/>
      <c r="P21" s="229">
        <f t="shared" si="4"/>
        <v>0</v>
      </c>
      <c r="Q21" s="229">
        <f t="shared" si="4"/>
        <v>0</v>
      </c>
      <c r="R21" s="229">
        <f t="shared" si="5"/>
        <v>0</v>
      </c>
      <c r="S21" s="229">
        <f>D21*所得税项目计算!$F$2</f>
        <v>0</v>
      </c>
      <c r="T21" s="229">
        <f>Q21*所得税项目计算!$F$2</f>
        <v>0</v>
      </c>
    </row>
    <row r="22" spans="1:20">
      <c r="A22" s="229" t="str">
        <f>IF(OR(ABS(C22)&gt;0,ABS(F22)&gt;0,ABS(K22)&gt;0,ABS(P22)&gt;0),基础信息!$B$1,"")</f>
        <v/>
      </c>
      <c r="B22" s="547"/>
      <c r="C22" s="259">
        <f t="shared" si="0"/>
        <v>0</v>
      </c>
      <c r="D22" s="288"/>
      <c r="E22" s="288"/>
      <c r="F22" s="259">
        <f t="shared" si="1"/>
        <v>0</v>
      </c>
      <c r="G22" s="259">
        <f t="shared" si="2"/>
        <v>0</v>
      </c>
      <c r="H22" s="288"/>
      <c r="I22" s="288"/>
      <c r="J22" s="288"/>
      <c r="K22" s="288"/>
      <c r="L22" s="259">
        <f t="shared" si="3"/>
        <v>0</v>
      </c>
      <c r="M22" s="288"/>
      <c r="N22" s="288"/>
      <c r="O22" s="288"/>
      <c r="P22" s="229">
        <f t="shared" si="4"/>
        <v>0</v>
      </c>
      <c r="Q22" s="229">
        <f t="shared" si="4"/>
        <v>0</v>
      </c>
      <c r="R22" s="229">
        <f t="shared" si="5"/>
        <v>0</v>
      </c>
      <c r="S22" s="229">
        <f>D22*所得税项目计算!$F$2</f>
        <v>0</v>
      </c>
      <c r="T22" s="229">
        <f>Q22*所得税项目计算!$F$2</f>
        <v>0</v>
      </c>
    </row>
    <row r="23" spans="1:20">
      <c r="A23" s="229" t="str">
        <f>IF(OR(ABS(C23)&gt;0,ABS(F23)&gt;0,ABS(K23)&gt;0,ABS(P23)&gt;0),基础信息!$B$1,"")</f>
        <v/>
      </c>
      <c r="B23" s="547"/>
      <c r="C23" s="259">
        <f t="shared" si="0"/>
        <v>0</v>
      </c>
      <c r="D23" s="288"/>
      <c r="E23" s="288"/>
      <c r="F23" s="259">
        <f t="shared" si="1"/>
        <v>0</v>
      </c>
      <c r="G23" s="259">
        <f t="shared" si="2"/>
        <v>0</v>
      </c>
      <c r="H23" s="288"/>
      <c r="I23" s="288"/>
      <c r="J23" s="288"/>
      <c r="K23" s="288"/>
      <c r="L23" s="259">
        <f t="shared" si="3"/>
        <v>0</v>
      </c>
      <c r="M23" s="288"/>
      <c r="N23" s="288"/>
      <c r="O23" s="288"/>
      <c r="P23" s="229">
        <f t="shared" si="4"/>
        <v>0</v>
      </c>
      <c r="Q23" s="229">
        <f t="shared" si="4"/>
        <v>0</v>
      </c>
      <c r="R23" s="229">
        <f t="shared" si="5"/>
        <v>0</v>
      </c>
      <c r="S23" s="229">
        <f>D23*所得税项目计算!$F$2</f>
        <v>0</v>
      </c>
      <c r="T23" s="229">
        <f>Q23*所得税项目计算!$F$2</f>
        <v>0</v>
      </c>
    </row>
    <row r="24" spans="1:20">
      <c r="A24" s="229" t="str">
        <f>IF(OR(ABS(C24)&gt;0,ABS(F24)&gt;0,ABS(K24)&gt;0,ABS(P24)&gt;0),基础信息!$B$1,"")</f>
        <v/>
      </c>
      <c r="B24" s="547"/>
      <c r="C24" s="259">
        <f t="shared" si="0"/>
        <v>0</v>
      </c>
      <c r="D24" s="288"/>
      <c r="E24" s="288"/>
      <c r="F24" s="259">
        <f t="shared" si="1"/>
        <v>0</v>
      </c>
      <c r="G24" s="259">
        <f t="shared" si="2"/>
        <v>0</v>
      </c>
      <c r="H24" s="288"/>
      <c r="I24" s="288"/>
      <c r="J24" s="288"/>
      <c r="K24" s="288"/>
      <c r="L24" s="259">
        <f t="shared" si="3"/>
        <v>0</v>
      </c>
      <c r="M24" s="288"/>
      <c r="N24" s="288"/>
      <c r="O24" s="288"/>
      <c r="P24" s="229">
        <f t="shared" si="4"/>
        <v>0</v>
      </c>
      <c r="Q24" s="229">
        <f t="shared" si="4"/>
        <v>0</v>
      </c>
      <c r="R24" s="229">
        <f t="shared" si="5"/>
        <v>0</v>
      </c>
      <c r="S24" s="229">
        <f>D24*所得税项目计算!$F$2</f>
        <v>0</v>
      </c>
      <c r="T24" s="229">
        <f>Q24*所得税项目计算!$F$2</f>
        <v>0</v>
      </c>
    </row>
    <row r="25" spans="1:20">
      <c r="A25" s="229" t="str">
        <f>IF(OR(ABS(C25)&gt;0,ABS(F25)&gt;0,ABS(K25)&gt;0,ABS(P25)&gt;0),基础信息!$B$1,"")</f>
        <v/>
      </c>
      <c r="B25" s="547"/>
      <c r="C25" s="259">
        <f t="shared" si="0"/>
        <v>0</v>
      </c>
      <c r="D25" s="288"/>
      <c r="E25" s="288"/>
      <c r="F25" s="259">
        <f t="shared" si="1"/>
        <v>0</v>
      </c>
      <c r="G25" s="259">
        <f t="shared" si="2"/>
        <v>0</v>
      </c>
      <c r="H25" s="288"/>
      <c r="I25" s="288"/>
      <c r="J25" s="288"/>
      <c r="K25" s="288"/>
      <c r="L25" s="259">
        <f t="shared" si="3"/>
        <v>0</v>
      </c>
      <c r="M25" s="288"/>
      <c r="N25" s="288"/>
      <c r="O25" s="288"/>
      <c r="P25" s="229">
        <f t="shared" si="4"/>
        <v>0</v>
      </c>
      <c r="Q25" s="229">
        <f t="shared" si="4"/>
        <v>0</v>
      </c>
      <c r="R25" s="229">
        <f t="shared" si="5"/>
        <v>0</v>
      </c>
      <c r="S25" s="229">
        <f>D25*所得税项目计算!$F$2</f>
        <v>0</v>
      </c>
      <c r="T25" s="229">
        <f>Q25*所得税项目计算!$F$2</f>
        <v>0</v>
      </c>
    </row>
    <row r="26" spans="1:20">
      <c r="A26" s="229" t="str">
        <f>IF(OR(ABS(C26)&gt;0,ABS(F26)&gt;0,ABS(K26)&gt;0,ABS(P26)&gt;0),基础信息!$B$1,"")</f>
        <v/>
      </c>
      <c r="B26" s="547"/>
      <c r="C26" s="259">
        <f t="shared" si="0"/>
        <v>0</v>
      </c>
      <c r="D26" s="288"/>
      <c r="E26" s="288"/>
      <c r="F26" s="259">
        <f t="shared" si="1"/>
        <v>0</v>
      </c>
      <c r="G26" s="259">
        <f t="shared" si="2"/>
        <v>0</v>
      </c>
      <c r="H26" s="288"/>
      <c r="I26" s="288"/>
      <c r="J26" s="288"/>
      <c r="K26" s="288"/>
      <c r="L26" s="259">
        <f t="shared" si="3"/>
        <v>0</v>
      </c>
      <c r="M26" s="288"/>
      <c r="N26" s="288"/>
      <c r="O26" s="288"/>
      <c r="P26" s="229">
        <f t="shared" si="4"/>
        <v>0</v>
      </c>
      <c r="Q26" s="229">
        <f t="shared" si="4"/>
        <v>0</v>
      </c>
      <c r="R26" s="229">
        <f t="shared" si="5"/>
        <v>0</v>
      </c>
      <c r="S26" s="229">
        <f>D26*所得税项目计算!$F$2</f>
        <v>0</v>
      </c>
      <c r="T26" s="229">
        <f>Q26*所得税项目计算!$F$2</f>
        <v>0</v>
      </c>
    </row>
    <row r="27" spans="1:20">
      <c r="A27" s="229" t="str">
        <f>IF(OR(ABS(C27)&gt;0,ABS(F27)&gt;0,ABS(K27)&gt;0,ABS(P27)&gt;0),基础信息!$B$1,"")</f>
        <v/>
      </c>
      <c r="B27" s="547"/>
      <c r="C27" s="259">
        <f t="shared" si="0"/>
        <v>0</v>
      </c>
      <c r="D27" s="288"/>
      <c r="E27" s="288"/>
      <c r="F27" s="259">
        <f t="shared" si="1"/>
        <v>0</v>
      </c>
      <c r="G27" s="259">
        <f t="shared" si="2"/>
        <v>0</v>
      </c>
      <c r="H27" s="288"/>
      <c r="I27" s="288"/>
      <c r="J27" s="288"/>
      <c r="K27" s="288"/>
      <c r="L27" s="259">
        <f t="shared" si="3"/>
        <v>0</v>
      </c>
      <c r="M27" s="288"/>
      <c r="N27" s="288"/>
      <c r="O27" s="288"/>
      <c r="P27" s="229">
        <f t="shared" si="4"/>
        <v>0</v>
      </c>
      <c r="Q27" s="229">
        <f t="shared" si="4"/>
        <v>0</v>
      </c>
      <c r="R27" s="229">
        <f t="shared" si="5"/>
        <v>0</v>
      </c>
      <c r="S27" s="229">
        <f>D27*所得税项目计算!$F$2</f>
        <v>0</v>
      </c>
      <c r="T27" s="229">
        <f>Q27*所得税项目计算!$F$2</f>
        <v>0</v>
      </c>
    </row>
    <row r="28" spans="1:20">
      <c r="A28" s="229" t="str">
        <f>IF(OR(ABS(C28)&gt;0,ABS(F28)&gt;0,ABS(K28)&gt;0,ABS(P28)&gt;0),基础信息!$B$1,"")</f>
        <v/>
      </c>
      <c r="B28" s="547"/>
      <c r="C28" s="259">
        <f t="shared" si="0"/>
        <v>0</v>
      </c>
      <c r="D28" s="288"/>
      <c r="E28" s="288"/>
      <c r="F28" s="259">
        <f t="shared" si="1"/>
        <v>0</v>
      </c>
      <c r="G28" s="259">
        <f t="shared" si="2"/>
        <v>0</v>
      </c>
      <c r="H28" s="288"/>
      <c r="I28" s="288"/>
      <c r="J28" s="288"/>
      <c r="K28" s="288"/>
      <c r="L28" s="259">
        <f t="shared" si="3"/>
        <v>0</v>
      </c>
      <c r="M28" s="288"/>
      <c r="N28" s="288"/>
      <c r="O28" s="288"/>
      <c r="P28" s="229">
        <f t="shared" si="4"/>
        <v>0</v>
      </c>
      <c r="Q28" s="229">
        <f t="shared" si="4"/>
        <v>0</v>
      </c>
      <c r="R28" s="229">
        <f t="shared" si="5"/>
        <v>0</v>
      </c>
      <c r="S28" s="229">
        <f>D28*所得税项目计算!$F$2</f>
        <v>0</v>
      </c>
      <c r="T28" s="229">
        <f>Q28*所得税项目计算!$F$2</f>
        <v>0</v>
      </c>
    </row>
    <row r="29" spans="1:20">
      <c r="A29" s="229" t="str">
        <f>IF(OR(ABS(C29)&gt;0,ABS(F29)&gt;0,ABS(K29)&gt;0,ABS(P29)&gt;0),基础信息!$B$1,"")</f>
        <v/>
      </c>
      <c r="B29" s="547"/>
      <c r="C29" s="259">
        <f t="shared" si="0"/>
        <v>0</v>
      </c>
      <c r="D29" s="288"/>
      <c r="E29" s="288"/>
      <c r="F29" s="259">
        <f t="shared" si="1"/>
        <v>0</v>
      </c>
      <c r="G29" s="259">
        <f t="shared" si="2"/>
        <v>0</v>
      </c>
      <c r="H29" s="288"/>
      <c r="I29" s="288"/>
      <c r="J29" s="288"/>
      <c r="K29" s="288"/>
      <c r="L29" s="259">
        <f t="shared" si="3"/>
        <v>0</v>
      </c>
      <c r="M29" s="288"/>
      <c r="N29" s="288"/>
      <c r="O29" s="288"/>
      <c r="P29" s="229">
        <f t="shared" si="4"/>
        <v>0</v>
      </c>
      <c r="Q29" s="229">
        <f t="shared" si="4"/>
        <v>0</v>
      </c>
      <c r="R29" s="229">
        <f t="shared" si="5"/>
        <v>0</v>
      </c>
      <c r="S29" s="229">
        <f>D29*所得税项目计算!$F$2</f>
        <v>0</v>
      </c>
      <c r="T29" s="229">
        <f>Q29*所得税项目计算!$F$2</f>
        <v>0</v>
      </c>
    </row>
    <row r="30" spans="1:20">
      <c r="A30" s="229" t="str">
        <f>IF(OR(ABS(C30)&gt;0,ABS(F30)&gt;0,ABS(K30)&gt;0,ABS(P30)&gt;0),基础信息!$B$1,"")</f>
        <v/>
      </c>
      <c r="B30" s="547"/>
      <c r="C30" s="259">
        <f t="shared" si="0"/>
        <v>0</v>
      </c>
      <c r="D30" s="288"/>
      <c r="E30" s="288"/>
      <c r="F30" s="259">
        <f t="shared" si="1"/>
        <v>0</v>
      </c>
      <c r="G30" s="259">
        <f t="shared" si="2"/>
        <v>0</v>
      </c>
      <c r="H30" s="288"/>
      <c r="I30" s="288"/>
      <c r="J30" s="288"/>
      <c r="K30" s="288"/>
      <c r="L30" s="259">
        <f t="shared" si="3"/>
        <v>0</v>
      </c>
      <c r="M30" s="288"/>
      <c r="N30" s="288"/>
      <c r="O30" s="288"/>
      <c r="P30" s="229">
        <f t="shared" si="4"/>
        <v>0</v>
      </c>
      <c r="Q30" s="229">
        <f t="shared" si="4"/>
        <v>0</v>
      </c>
      <c r="R30" s="229">
        <f t="shared" si="5"/>
        <v>0</v>
      </c>
      <c r="S30" s="229">
        <f>D30*所得税项目计算!$F$2</f>
        <v>0</v>
      </c>
      <c r="T30" s="229">
        <f>Q30*所得税项目计算!$F$2</f>
        <v>0</v>
      </c>
    </row>
    <row r="31" spans="1:20" s="259" customFormat="1">
      <c r="A31" s="229" t="str">
        <f>IF(OR(ABS(C31)&gt;0,ABS(F31)&gt;0,ABS(K31)&gt;0,ABS(P31)&gt;0),基础信息!$B$1,"")</f>
        <v/>
      </c>
      <c r="B31" s="547"/>
      <c r="C31" s="259">
        <f t="shared" si="0"/>
        <v>0</v>
      </c>
      <c r="D31" s="288"/>
      <c r="E31" s="288"/>
      <c r="F31" s="259">
        <f t="shared" si="1"/>
        <v>0</v>
      </c>
      <c r="G31" s="259">
        <f t="shared" si="2"/>
        <v>0</v>
      </c>
      <c r="H31" s="288"/>
      <c r="I31" s="288"/>
      <c r="J31" s="288"/>
      <c r="K31" s="288"/>
      <c r="L31" s="259">
        <f t="shared" si="3"/>
        <v>0</v>
      </c>
      <c r="M31" s="288"/>
      <c r="N31" s="288"/>
      <c r="O31" s="288"/>
      <c r="P31" s="259">
        <f t="shared" si="4"/>
        <v>0</v>
      </c>
      <c r="Q31" s="259">
        <f t="shared" si="4"/>
        <v>0</v>
      </c>
      <c r="R31" s="259">
        <f t="shared" si="5"/>
        <v>0</v>
      </c>
      <c r="S31" s="229">
        <f>D31*所得税项目计算!$F$2</f>
        <v>0</v>
      </c>
      <c r="T31" s="229">
        <f>Q31*所得税项目计算!$F$2</f>
        <v>0</v>
      </c>
    </row>
    <row r="32" spans="1:20">
      <c r="A32" s="229" t="str">
        <f>IF(OR(ABS(C32)&gt;0,ABS(F32)&gt;0,ABS(K32)&gt;0,ABS(P32)&gt;0),基础信息!$B$1,"")</f>
        <v/>
      </c>
      <c r="B32" s="547"/>
      <c r="C32" s="259">
        <f t="shared" si="0"/>
        <v>0</v>
      </c>
      <c r="D32" s="288"/>
      <c r="E32" s="288"/>
      <c r="F32" s="259">
        <f t="shared" si="1"/>
        <v>0</v>
      </c>
      <c r="G32" s="259">
        <f t="shared" si="2"/>
        <v>0</v>
      </c>
      <c r="H32" s="288"/>
      <c r="I32" s="288"/>
      <c r="J32" s="288"/>
      <c r="K32" s="288"/>
      <c r="L32" s="259">
        <f t="shared" si="3"/>
        <v>0</v>
      </c>
      <c r="M32" s="288"/>
      <c r="N32" s="288"/>
      <c r="O32" s="288"/>
      <c r="P32" s="229">
        <f t="shared" si="4"/>
        <v>0</v>
      </c>
      <c r="Q32" s="229">
        <f t="shared" si="4"/>
        <v>0</v>
      </c>
      <c r="R32" s="229">
        <f t="shared" si="5"/>
        <v>0</v>
      </c>
      <c r="S32" s="229">
        <f>D32*所得税项目计算!$F$2</f>
        <v>0</v>
      </c>
      <c r="T32" s="229">
        <f>Q32*所得税项目计算!$F$2</f>
        <v>0</v>
      </c>
    </row>
    <row r="33" spans="1:20">
      <c r="A33" s="229" t="str">
        <f>IF(OR(ABS(C33)&gt;0,ABS(F33)&gt;0,ABS(K33)&gt;0,ABS(P33)&gt;0),基础信息!$B$1,"")</f>
        <v/>
      </c>
      <c r="B33" s="547"/>
      <c r="C33" s="259">
        <f t="shared" si="0"/>
        <v>0</v>
      </c>
      <c r="D33" s="288"/>
      <c r="E33" s="288"/>
      <c r="F33" s="259">
        <f t="shared" si="1"/>
        <v>0</v>
      </c>
      <c r="G33" s="259">
        <f t="shared" si="2"/>
        <v>0</v>
      </c>
      <c r="H33" s="288"/>
      <c r="I33" s="288"/>
      <c r="J33" s="288"/>
      <c r="K33" s="288"/>
      <c r="L33" s="259">
        <f t="shared" si="3"/>
        <v>0</v>
      </c>
      <c r="M33" s="288"/>
      <c r="N33" s="288"/>
      <c r="O33" s="288"/>
      <c r="P33" s="229">
        <f t="shared" si="4"/>
        <v>0</v>
      </c>
      <c r="Q33" s="229">
        <f t="shared" si="4"/>
        <v>0</v>
      </c>
      <c r="R33" s="229">
        <f t="shared" si="5"/>
        <v>0</v>
      </c>
      <c r="S33" s="229">
        <f>D33*所得税项目计算!$F$2</f>
        <v>0</v>
      </c>
      <c r="T33" s="229">
        <f>Q33*所得税项目计算!$F$2</f>
        <v>0</v>
      </c>
    </row>
    <row r="34" spans="1:20">
      <c r="A34" s="229" t="str">
        <f>IF(OR(ABS(C34)&gt;0,ABS(F34)&gt;0,ABS(K34)&gt;0,ABS(P34)&gt;0),基础信息!$B$1,"")</f>
        <v/>
      </c>
      <c r="B34" s="547"/>
      <c r="C34" s="259">
        <f t="shared" si="0"/>
        <v>0</v>
      </c>
      <c r="D34" s="288"/>
      <c r="E34" s="288"/>
      <c r="F34" s="259">
        <f t="shared" si="1"/>
        <v>0</v>
      </c>
      <c r="G34" s="259">
        <f t="shared" si="2"/>
        <v>0</v>
      </c>
      <c r="H34" s="288"/>
      <c r="I34" s="288"/>
      <c r="J34" s="288"/>
      <c r="K34" s="288"/>
      <c r="L34" s="259">
        <f t="shared" si="3"/>
        <v>0</v>
      </c>
      <c r="M34" s="288"/>
      <c r="N34" s="288"/>
      <c r="O34" s="288"/>
      <c r="P34" s="229">
        <f t="shared" si="4"/>
        <v>0</v>
      </c>
      <c r="Q34" s="229">
        <f t="shared" si="4"/>
        <v>0</v>
      </c>
      <c r="R34" s="229">
        <f t="shared" si="5"/>
        <v>0</v>
      </c>
      <c r="S34" s="229">
        <f>D34*所得税项目计算!$F$2</f>
        <v>0</v>
      </c>
      <c r="T34" s="229">
        <f>Q34*所得税项目计算!$F$2</f>
        <v>0</v>
      </c>
    </row>
    <row r="35" spans="1:20">
      <c r="A35" s="229" t="str">
        <f>IF(OR(ABS(C35)&gt;0,ABS(F35)&gt;0,ABS(K35)&gt;0,ABS(P35)&gt;0),基础信息!$B$1,"")</f>
        <v/>
      </c>
      <c r="B35" s="547"/>
      <c r="C35" s="259">
        <f t="shared" si="0"/>
        <v>0</v>
      </c>
      <c r="D35" s="288"/>
      <c r="E35" s="288"/>
      <c r="F35" s="259">
        <f t="shared" si="1"/>
        <v>0</v>
      </c>
      <c r="G35" s="259">
        <f t="shared" si="2"/>
        <v>0</v>
      </c>
      <c r="H35" s="288"/>
      <c r="I35" s="288"/>
      <c r="J35" s="288"/>
      <c r="K35" s="288"/>
      <c r="L35" s="259">
        <f t="shared" si="3"/>
        <v>0</v>
      </c>
      <c r="M35" s="288"/>
      <c r="N35" s="288"/>
      <c r="O35" s="288"/>
      <c r="P35" s="229">
        <f t="shared" si="4"/>
        <v>0</v>
      </c>
      <c r="Q35" s="229">
        <f t="shared" si="4"/>
        <v>0</v>
      </c>
      <c r="R35" s="229">
        <f t="shared" si="5"/>
        <v>0</v>
      </c>
      <c r="S35" s="229">
        <f>D35*所得税项目计算!$F$2</f>
        <v>0</v>
      </c>
      <c r="T35" s="229">
        <f>Q35*所得税项目计算!$F$2</f>
        <v>0</v>
      </c>
    </row>
    <row r="36" spans="1:20">
      <c r="A36" s="229" t="str">
        <f>IF(OR(ABS(C36)&gt;0,ABS(F36)&gt;0,ABS(K36)&gt;0,ABS(P36)&gt;0),基础信息!$B$1,"")</f>
        <v/>
      </c>
      <c r="B36" s="547"/>
      <c r="C36" s="259">
        <f t="shared" si="0"/>
        <v>0</v>
      </c>
      <c r="D36" s="288"/>
      <c r="E36" s="288"/>
      <c r="F36" s="259">
        <f t="shared" si="1"/>
        <v>0</v>
      </c>
      <c r="G36" s="259">
        <f t="shared" si="2"/>
        <v>0</v>
      </c>
      <c r="H36" s="288"/>
      <c r="I36" s="288"/>
      <c r="J36" s="288"/>
      <c r="K36" s="288"/>
      <c r="L36" s="259">
        <f t="shared" si="3"/>
        <v>0</v>
      </c>
      <c r="M36" s="288"/>
      <c r="N36" s="288"/>
      <c r="O36" s="288"/>
      <c r="P36" s="229">
        <f t="shared" si="4"/>
        <v>0</v>
      </c>
      <c r="Q36" s="229">
        <f t="shared" si="4"/>
        <v>0</v>
      </c>
      <c r="R36" s="229">
        <f t="shared" si="5"/>
        <v>0</v>
      </c>
      <c r="S36" s="229">
        <f>D36*所得税项目计算!$F$2</f>
        <v>0</v>
      </c>
      <c r="T36" s="229">
        <f>Q36*所得税项目计算!$F$2</f>
        <v>0</v>
      </c>
    </row>
    <row r="37" spans="1:20">
      <c r="A37" s="229" t="str">
        <f>IF(OR(ABS(C37)&gt;0,ABS(F37)&gt;0,ABS(K37)&gt;0,ABS(P37)&gt;0),基础信息!$B$1,"")</f>
        <v/>
      </c>
      <c r="B37" s="547"/>
      <c r="C37" s="259">
        <f t="shared" si="0"/>
        <v>0</v>
      </c>
      <c r="D37" s="288"/>
      <c r="E37" s="288"/>
      <c r="F37" s="259">
        <f t="shared" si="1"/>
        <v>0</v>
      </c>
      <c r="G37" s="259">
        <f t="shared" si="2"/>
        <v>0</v>
      </c>
      <c r="H37" s="288"/>
      <c r="I37" s="288"/>
      <c r="J37" s="288"/>
      <c r="K37" s="288"/>
      <c r="L37" s="259">
        <f t="shared" si="3"/>
        <v>0</v>
      </c>
      <c r="M37" s="288"/>
      <c r="N37" s="288"/>
      <c r="O37" s="288"/>
      <c r="P37" s="229">
        <f t="shared" ref="P37:Q57" si="6">C37+F37-K37</f>
        <v>0</v>
      </c>
      <c r="Q37" s="229">
        <f t="shared" si="6"/>
        <v>0</v>
      </c>
      <c r="R37" s="229">
        <f t="shared" si="5"/>
        <v>0</v>
      </c>
      <c r="S37" s="229">
        <f>D37*所得税项目计算!$F$2</f>
        <v>0</v>
      </c>
      <c r="T37" s="229">
        <f>Q37*所得税项目计算!$F$2</f>
        <v>0</v>
      </c>
    </row>
    <row r="38" spans="1:20">
      <c r="A38" s="229" t="str">
        <f>IF(OR(ABS(C38)&gt;0,ABS(F38)&gt;0,ABS(K38)&gt;0,ABS(P38)&gt;0),基础信息!$B$1,"")</f>
        <v/>
      </c>
      <c r="B38" s="547"/>
      <c r="C38" s="259">
        <f t="shared" si="0"/>
        <v>0</v>
      </c>
      <c r="D38" s="288"/>
      <c r="E38" s="288"/>
      <c r="F38" s="259">
        <f t="shared" si="1"/>
        <v>0</v>
      </c>
      <c r="G38" s="259">
        <f t="shared" si="2"/>
        <v>0</v>
      </c>
      <c r="H38" s="288"/>
      <c r="I38" s="288"/>
      <c r="J38" s="288"/>
      <c r="K38" s="288"/>
      <c r="L38" s="259">
        <f t="shared" si="3"/>
        <v>0</v>
      </c>
      <c r="M38" s="288"/>
      <c r="N38" s="288"/>
      <c r="O38" s="288"/>
      <c r="P38" s="229">
        <f t="shared" si="6"/>
        <v>0</v>
      </c>
      <c r="Q38" s="229">
        <f t="shared" si="6"/>
        <v>0</v>
      </c>
      <c r="R38" s="229">
        <f t="shared" si="5"/>
        <v>0</v>
      </c>
      <c r="S38" s="229">
        <f>D38*所得税项目计算!$F$2</f>
        <v>0</v>
      </c>
      <c r="T38" s="229">
        <f>Q38*所得税项目计算!$F$2</f>
        <v>0</v>
      </c>
    </row>
    <row r="39" spans="1:20">
      <c r="A39" s="229" t="str">
        <f>IF(OR(ABS(C39)&gt;0,ABS(F39)&gt;0,ABS(K39)&gt;0,ABS(P39)&gt;0),基础信息!$B$1,"")</f>
        <v/>
      </c>
      <c r="B39" s="547"/>
      <c r="C39" s="259">
        <f t="shared" si="0"/>
        <v>0</v>
      </c>
      <c r="D39" s="288"/>
      <c r="E39" s="288"/>
      <c r="F39" s="259">
        <f t="shared" si="1"/>
        <v>0</v>
      </c>
      <c r="G39" s="259">
        <f t="shared" si="2"/>
        <v>0</v>
      </c>
      <c r="H39" s="288"/>
      <c r="I39" s="288"/>
      <c r="J39" s="288"/>
      <c r="K39" s="288"/>
      <c r="L39" s="259">
        <f t="shared" si="3"/>
        <v>0</v>
      </c>
      <c r="M39" s="288"/>
      <c r="N39" s="288"/>
      <c r="O39" s="288"/>
      <c r="P39" s="229">
        <f t="shared" si="6"/>
        <v>0</v>
      </c>
      <c r="Q39" s="229">
        <f t="shared" si="6"/>
        <v>0</v>
      </c>
      <c r="R39" s="229">
        <f t="shared" si="5"/>
        <v>0</v>
      </c>
      <c r="S39" s="229">
        <f>D39*所得税项目计算!$F$2</f>
        <v>0</v>
      </c>
      <c r="T39" s="229">
        <f>Q39*所得税项目计算!$F$2</f>
        <v>0</v>
      </c>
    </row>
    <row r="40" spans="1:20">
      <c r="A40" s="229" t="str">
        <f>IF(OR(ABS(C40)&gt;0,ABS(F40)&gt;0,ABS(K40)&gt;0,ABS(P40)&gt;0),基础信息!$B$1,"")</f>
        <v/>
      </c>
      <c r="B40" s="547"/>
      <c r="C40" s="259">
        <f t="shared" si="0"/>
        <v>0</v>
      </c>
      <c r="D40" s="288"/>
      <c r="E40" s="288"/>
      <c r="F40" s="259">
        <f t="shared" si="1"/>
        <v>0</v>
      </c>
      <c r="G40" s="259">
        <f t="shared" si="2"/>
        <v>0</v>
      </c>
      <c r="H40" s="288"/>
      <c r="I40" s="288"/>
      <c r="J40" s="288"/>
      <c r="K40" s="288"/>
      <c r="L40" s="259">
        <f t="shared" si="3"/>
        <v>0</v>
      </c>
      <c r="M40" s="288"/>
      <c r="N40" s="288"/>
      <c r="O40" s="288"/>
      <c r="P40" s="229">
        <f t="shared" si="6"/>
        <v>0</v>
      </c>
      <c r="Q40" s="229">
        <f t="shared" si="6"/>
        <v>0</v>
      </c>
      <c r="R40" s="229">
        <f t="shared" si="5"/>
        <v>0</v>
      </c>
      <c r="S40" s="229">
        <f>D40*所得税项目计算!$F$2</f>
        <v>0</v>
      </c>
      <c r="T40" s="229">
        <f>Q40*所得税项目计算!$F$2</f>
        <v>0</v>
      </c>
    </row>
    <row r="41" spans="1:20">
      <c r="A41" s="229" t="str">
        <f>IF(OR(ABS(C41)&gt;0,ABS(F41)&gt;0,ABS(K41)&gt;0,ABS(P41)&gt;0),基础信息!$B$1,"")</f>
        <v/>
      </c>
      <c r="B41" s="547"/>
      <c r="C41" s="259">
        <f t="shared" si="0"/>
        <v>0</v>
      </c>
      <c r="D41" s="288"/>
      <c r="E41" s="288"/>
      <c r="F41" s="259">
        <f t="shared" si="1"/>
        <v>0</v>
      </c>
      <c r="G41" s="259">
        <f t="shared" si="2"/>
        <v>0</v>
      </c>
      <c r="H41" s="288"/>
      <c r="I41" s="288"/>
      <c r="J41" s="288"/>
      <c r="K41" s="288"/>
      <c r="L41" s="259">
        <f t="shared" si="3"/>
        <v>0</v>
      </c>
      <c r="M41" s="288"/>
      <c r="N41" s="288"/>
      <c r="O41" s="288"/>
      <c r="P41" s="229">
        <f t="shared" si="6"/>
        <v>0</v>
      </c>
      <c r="Q41" s="229">
        <f t="shared" si="6"/>
        <v>0</v>
      </c>
      <c r="R41" s="229">
        <f t="shared" si="5"/>
        <v>0</v>
      </c>
      <c r="S41" s="229">
        <f>D41*所得税项目计算!$F$2</f>
        <v>0</v>
      </c>
      <c r="T41" s="229">
        <f>Q41*所得税项目计算!$F$2</f>
        <v>0</v>
      </c>
    </row>
    <row r="42" spans="1:20">
      <c r="A42" s="229" t="str">
        <f>IF(OR(ABS(C42)&gt;0,ABS(F42)&gt;0,ABS(K42)&gt;0,ABS(P42)&gt;0),基础信息!$B$1,"")</f>
        <v/>
      </c>
      <c r="B42" s="547"/>
      <c r="C42" s="259">
        <f t="shared" si="0"/>
        <v>0</v>
      </c>
      <c r="D42" s="288"/>
      <c r="E42" s="288"/>
      <c r="F42" s="259">
        <f t="shared" si="1"/>
        <v>0</v>
      </c>
      <c r="G42" s="259">
        <f t="shared" si="2"/>
        <v>0</v>
      </c>
      <c r="H42" s="288"/>
      <c r="I42" s="288"/>
      <c r="J42" s="288"/>
      <c r="K42" s="288"/>
      <c r="L42" s="259">
        <f t="shared" si="3"/>
        <v>0</v>
      </c>
      <c r="M42" s="288"/>
      <c r="N42" s="288"/>
      <c r="O42" s="288"/>
      <c r="P42" s="229">
        <f t="shared" si="6"/>
        <v>0</v>
      </c>
      <c r="Q42" s="229">
        <f t="shared" si="6"/>
        <v>0</v>
      </c>
      <c r="R42" s="229">
        <f t="shared" si="5"/>
        <v>0</v>
      </c>
      <c r="S42" s="229">
        <f>D42*所得税项目计算!$F$2</f>
        <v>0</v>
      </c>
      <c r="T42" s="229">
        <f>Q42*所得税项目计算!$F$2</f>
        <v>0</v>
      </c>
    </row>
    <row r="43" spans="1:20">
      <c r="A43" s="229" t="str">
        <f>IF(OR(ABS(C43)&gt;0,ABS(F43)&gt;0,ABS(K43)&gt;0,ABS(P43)&gt;0),基础信息!$B$1,"")</f>
        <v/>
      </c>
      <c r="B43" s="547"/>
      <c r="C43" s="259">
        <f t="shared" si="0"/>
        <v>0</v>
      </c>
      <c r="D43" s="288"/>
      <c r="E43" s="288"/>
      <c r="F43" s="259">
        <f t="shared" si="1"/>
        <v>0</v>
      </c>
      <c r="G43" s="259">
        <f t="shared" si="2"/>
        <v>0</v>
      </c>
      <c r="H43" s="288"/>
      <c r="I43" s="288"/>
      <c r="J43" s="288"/>
      <c r="K43" s="288"/>
      <c r="L43" s="259">
        <f t="shared" si="3"/>
        <v>0</v>
      </c>
      <c r="M43" s="288"/>
      <c r="N43" s="288"/>
      <c r="O43" s="288"/>
      <c r="P43" s="229">
        <f t="shared" si="6"/>
        <v>0</v>
      </c>
      <c r="Q43" s="229">
        <f t="shared" si="6"/>
        <v>0</v>
      </c>
      <c r="R43" s="229">
        <f t="shared" si="5"/>
        <v>0</v>
      </c>
      <c r="S43" s="229">
        <f>D43*所得税项目计算!$F$2</f>
        <v>0</v>
      </c>
      <c r="T43" s="229">
        <f>Q43*所得税项目计算!$F$2</f>
        <v>0</v>
      </c>
    </row>
    <row r="44" spans="1:20">
      <c r="A44" s="229" t="str">
        <f>IF(OR(ABS(C44)&gt;0,ABS(F44)&gt;0,ABS(K44)&gt;0,ABS(P44)&gt;0),基础信息!$B$1,"")</f>
        <v/>
      </c>
      <c r="B44" s="547"/>
      <c r="C44" s="259">
        <f t="shared" si="0"/>
        <v>0</v>
      </c>
      <c r="D44" s="288"/>
      <c r="E44" s="288"/>
      <c r="F44" s="259">
        <f t="shared" si="1"/>
        <v>0</v>
      </c>
      <c r="G44" s="259">
        <f t="shared" si="2"/>
        <v>0</v>
      </c>
      <c r="H44" s="288"/>
      <c r="I44" s="288"/>
      <c r="J44" s="288"/>
      <c r="K44" s="288"/>
      <c r="L44" s="259">
        <f t="shared" si="3"/>
        <v>0</v>
      </c>
      <c r="M44" s="288"/>
      <c r="N44" s="288"/>
      <c r="O44" s="288"/>
      <c r="P44" s="229">
        <f t="shared" si="6"/>
        <v>0</v>
      </c>
      <c r="Q44" s="229">
        <f t="shared" si="6"/>
        <v>0</v>
      </c>
      <c r="R44" s="229">
        <f t="shared" si="5"/>
        <v>0</v>
      </c>
      <c r="S44" s="229">
        <f>D44*所得税项目计算!$F$2</f>
        <v>0</v>
      </c>
      <c r="T44" s="229">
        <f>Q44*所得税项目计算!$F$2</f>
        <v>0</v>
      </c>
    </row>
    <row r="45" spans="1:20">
      <c r="A45" s="229" t="str">
        <f>IF(OR(ABS(C45)&gt;0,ABS(F45)&gt;0,ABS(K45)&gt;0,ABS(P45)&gt;0),基础信息!$B$1,"")</f>
        <v/>
      </c>
      <c r="B45" s="547"/>
      <c r="C45" s="259">
        <f t="shared" si="0"/>
        <v>0</v>
      </c>
      <c r="D45" s="288"/>
      <c r="E45" s="288"/>
      <c r="F45" s="259">
        <f t="shared" si="1"/>
        <v>0</v>
      </c>
      <c r="G45" s="259">
        <f t="shared" si="2"/>
        <v>0</v>
      </c>
      <c r="H45" s="288"/>
      <c r="I45" s="288"/>
      <c r="J45" s="288"/>
      <c r="K45" s="288"/>
      <c r="L45" s="259">
        <f t="shared" si="3"/>
        <v>0</v>
      </c>
      <c r="M45" s="288"/>
      <c r="N45" s="288"/>
      <c r="O45" s="288"/>
      <c r="P45" s="229">
        <f t="shared" si="6"/>
        <v>0</v>
      </c>
      <c r="Q45" s="229">
        <f t="shared" si="6"/>
        <v>0</v>
      </c>
      <c r="R45" s="229">
        <f t="shared" si="5"/>
        <v>0</v>
      </c>
      <c r="S45" s="229">
        <f>D45*所得税项目计算!$F$2</f>
        <v>0</v>
      </c>
      <c r="T45" s="229">
        <f>Q45*所得税项目计算!$F$2</f>
        <v>0</v>
      </c>
    </row>
    <row r="46" spans="1:20">
      <c r="A46" s="229" t="str">
        <f>IF(OR(ABS(C46)&gt;0,ABS(F46)&gt;0,ABS(K46)&gt;0,ABS(P46)&gt;0),基础信息!$B$1,"")</f>
        <v/>
      </c>
      <c r="B46" s="547"/>
      <c r="C46" s="259">
        <f t="shared" si="0"/>
        <v>0</v>
      </c>
      <c r="D46" s="288"/>
      <c r="E46" s="288"/>
      <c r="F46" s="259">
        <f t="shared" si="1"/>
        <v>0</v>
      </c>
      <c r="G46" s="259">
        <f t="shared" si="2"/>
        <v>0</v>
      </c>
      <c r="H46" s="288"/>
      <c r="I46" s="288"/>
      <c r="J46" s="288"/>
      <c r="K46" s="288"/>
      <c r="L46" s="259">
        <f t="shared" si="3"/>
        <v>0</v>
      </c>
      <c r="M46" s="288"/>
      <c r="N46" s="288"/>
      <c r="O46" s="288"/>
      <c r="P46" s="229">
        <f t="shared" si="6"/>
        <v>0</v>
      </c>
      <c r="Q46" s="229">
        <f t="shared" si="6"/>
        <v>0</v>
      </c>
      <c r="R46" s="229">
        <f t="shared" si="5"/>
        <v>0</v>
      </c>
      <c r="S46" s="229">
        <f>D46*所得税项目计算!$F$2</f>
        <v>0</v>
      </c>
      <c r="T46" s="229">
        <f>Q46*所得税项目计算!$F$2</f>
        <v>0</v>
      </c>
    </row>
    <row r="47" spans="1:20">
      <c r="A47" s="229" t="str">
        <f>IF(OR(ABS(C47)&gt;0,ABS(F47)&gt;0,ABS(K47)&gt;0,ABS(P47)&gt;0),基础信息!$B$1,"")</f>
        <v/>
      </c>
      <c r="B47" s="547"/>
      <c r="C47" s="259">
        <f t="shared" si="0"/>
        <v>0</v>
      </c>
      <c r="D47" s="288"/>
      <c r="E47" s="288"/>
      <c r="F47" s="259">
        <f t="shared" si="1"/>
        <v>0</v>
      </c>
      <c r="G47" s="259">
        <f t="shared" si="2"/>
        <v>0</v>
      </c>
      <c r="H47" s="288"/>
      <c r="I47" s="288"/>
      <c r="J47" s="288"/>
      <c r="K47" s="288"/>
      <c r="L47" s="259">
        <f t="shared" si="3"/>
        <v>0</v>
      </c>
      <c r="M47" s="288"/>
      <c r="N47" s="288"/>
      <c r="O47" s="288"/>
      <c r="P47" s="229">
        <f t="shared" si="6"/>
        <v>0</v>
      </c>
      <c r="Q47" s="229">
        <f t="shared" si="6"/>
        <v>0</v>
      </c>
      <c r="R47" s="229">
        <f t="shared" si="5"/>
        <v>0</v>
      </c>
      <c r="S47" s="229">
        <f>D47*所得税项目计算!$F$2</f>
        <v>0</v>
      </c>
      <c r="T47" s="229">
        <f>Q47*所得税项目计算!$F$2</f>
        <v>0</v>
      </c>
    </row>
    <row r="48" spans="1:20">
      <c r="A48" s="229" t="str">
        <f>IF(OR(ABS(C48)&gt;0,ABS(F48)&gt;0,ABS(K48)&gt;0,ABS(P48)&gt;0),基础信息!$B$1,"")</f>
        <v/>
      </c>
      <c r="B48" s="547"/>
      <c r="C48" s="259">
        <f t="shared" si="0"/>
        <v>0</v>
      </c>
      <c r="D48" s="288"/>
      <c r="E48" s="288"/>
      <c r="F48" s="259">
        <f t="shared" si="1"/>
        <v>0</v>
      </c>
      <c r="G48" s="259">
        <f t="shared" si="2"/>
        <v>0</v>
      </c>
      <c r="H48" s="288"/>
      <c r="I48" s="288"/>
      <c r="J48" s="288"/>
      <c r="K48" s="288"/>
      <c r="L48" s="259">
        <f t="shared" si="3"/>
        <v>0</v>
      </c>
      <c r="M48" s="288"/>
      <c r="N48" s="288"/>
      <c r="O48" s="288"/>
      <c r="P48" s="229">
        <f t="shared" si="6"/>
        <v>0</v>
      </c>
      <c r="Q48" s="229">
        <f t="shared" si="6"/>
        <v>0</v>
      </c>
      <c r="R48" s="229">
        <f t="shared" si="5"/>
        <v>0</v>
      </c>
      <c r="S48" s="229">
        <f>D48*所得税项目计算!$F$2</f>
        <v>0</v>
      </c>
      <c r="T48" s="229">
        <f>Q48*所得税项目计算!$F$2</f>
        <v>0</v>
      </c>
    </row>
    <row r="49" spans="1:20">
      <c r="A49" s="229" t="str">
        <f>IF(OR(ABS(C49)&gt;0,ABS(F49)&gt;0,ABS(K49)&gt;0,ABS(P49)&gt;0),基础信息!$B$1,"")</f>
        <v/>
      </c>
      <c r="B49" s="547"/>
      <c r="C49" s="259">
        <f t="shared" si="0"/>
        <v>0</v>
      </c>
      <c r="D49" s="288"/>
      <c r="E49" s="288"/>
      <c r="F49" s="259">
        <f t="shared" si="1"/>
        <v>0</v>
      </c>
      <c r="G49" s="259">
        <f t="shared" si="2"/>
        <v>0</v>
      </c>
      <c r="H49" s="288"/>
      <c r="I49" s="288"/>
      <c r="J49" s="288"/>
      <c r="K49" s="288"/>
      <c r="L49" s="259">
        <f t="shared" si="3"/>
        <v>0</v>
      </c>
      <c r="M49" s="288"/>
      <c r="N49" s="288"/>
      <c r="O49" s="288"/>
      <c r="P49" s="229">
        <f t="shared" si="6"/>
        <v>0</v>
      </c>
      <c r="Q49" s="229">
        <f t="shared" si="6"/>
        <v>0</v>
      </c>
      <c r="R49" s="229">
        <f t="shared" si="5"/>
        <v>0</v>
      </c>
      <c r="S49" s="229">
        <f>D49*所得税项目计算!$F$2</f>
        <v>0</v>
      </c>
      <c r="T49" s="229">
        <f>Q49*所得税项目计算!$F$2</f>
        <v>0</v>
      </c>
    </row>
    <row r="50" spans="1:20">
      <c r="A50" s="229" t="str">
        <f>IF(OR(ABS(C50)&gt;0,ABS(F50)&gt;0,ABS(K50)&gt;0,ABS(P50)&gt;0),基础信息!$B$1,"")</f>
        <v/>
      </c>
      <c r="B50" s="547"/>
      <c r="C50" s="259">
        <f t="shared" si="0"/>
        <v>0</v>
      </c>
      <c r="D50" s="288"/>
      <c r="E50" s="288"/>
      <c r="F50" s="259">
        <f t="shared" si="1"/>
        <v>0</v>
      </c>
      <c r="G50" s="259">
        <f t="shared" si="2"/>
        <v>0</v>
      </c>
      <c r="H50" s="288"/>
      <c r="I50" s="288"/>
      <c r="J50" s="288"/>
      <c r="K50" s="288"/>
      <c r="L50" s="259">
        <f t="shared" si="3"/>
        <v>0</v>
      </c>
      <c r="M50" s="288"/>
      <c r="N50" s="288"/>
      <c r="O50" s="288"/>
      <c r="P50" s="229">
        <f t="shared" si="6"/>
        <v>0</v>
      </c>
      <c r="Q50" s="229">
        <f t="shared" si="6"/>
        <v>0</v>
      </c>
      <c r="R50" s="229">
        <f t="shared" si="5"/>
        <v>0</v>
      </c>
      <c r="S50" s="229">
        <f>D50*所得税项目计算!$F$2</f>
        <v>0</v>
      </c>
      <c r="T50" s="229">
        <f>Q50*所得税项目计算!$F$2</f>
        <v>0</v>
      </c>
    </row>
    <row r="51" spans="1:20">
      <c r="A51" s="229" t="str">
        <f>IF(OR(ABS(C51)&gt;0,ABS(F51)&gt;0,ABS(K51)&gt;0,ABS(P51)&gt;0),基础信息!$B$1,"")</f>
        <v/>
      </c>
      <c r="B51" s="547"/>
      <c r="C51" s="259">
        <f t="shared" si="0"/>
        <v>0</v>
      </c>
      <c r="D51" s="288"/>
      <c r="E51" s="288"/>
      <c r="F51" s="259">
        <f t="shared" si="1"/>
        <v>0</v>
      </c>
      <c r="G51" s="259">
        <f t="shared" si="2"/>
        <v>0</v>
      </c>
      <c r="H51" s="288"/>
      <c r="I51" s="288"/>
      <c r="J51" s="288"/>
      <c r="K51" s="288"/>
      <c r="L51" s="259">
        <f t="shared" si="3"/>
        <v>0</v>
      </c>
      <c r="M51" s="288"/>
      <c r="N51" s="288"/>
      <c r="O51" s="288"/>
      <c r="P51" s="229">
        <f t="shared" si="6"/>
        <v>0</v>
      </c>
      <c r="Q51" s="229">
        <f t="shared" si="6"/>
        <v>0</v>
      </c>
      <c r="R51" s="229">
        <f t="shared" si="5"/>
        <v>0</v>
      </c>
      <c r="S51" s="229">
        <f>D51*所得税项目计算!$F$2</f>
        <v>0</v>
      </c>
      <c r="T51" s="229">
        <f>Q51*所得税项目计算!$F$2</f>
        <v>0</v>
      </c>
    </row>
    <row r="52" spans="1:20">
      <c r="A52" s="229" t="str">
        <f>IF(OR(ABS(C52)&gt;0,ABS(F52)&gt;0,ABS(K52)&gt;0,ABS(P52)&gt;0),基础信息!$B$1,"")</f>
        <v/>
      </c>
      <c r="B52" s="547"/>
      <c r="C52" s="259">
        <f t="shared" si="0"/>
        <v>0</v>
      </c>
      <c r="D52" s="288"/>
      <c r="E52" s="288"/>
      <c r="F52" s="259">
        <f t="shared" si="1"/>
        <v>0</v>
      </c>
      <c r="G52" s="259">
        <f t="shared" si="2"/>
        <v>0</v>
      </c>
      <c r="H52" s="288"/>
      <c r="I52" s="288"/>
      <c r="J52" s="288"/>
      <c r="K52" s="288"/>
      <c r="L52" s="259">
        <f t="shared" si="3"/>
        <v>0</v>
      </c>
      <c r="M52" s="288"/>
      <c r="N52" s="288"/>
      <c r="O52" s="288"/>
      <c r="P52" s="229">
        <f t="shared" si="6"/>
        <v>0</v>
      </c>
      <c r="Q52" s="229">
        <f t="shared" si="6"/>
        <v>0</v>
      </c>
      <c r="R52" s="229">
        <f t="shared" si="5"/>
        <v>0</v>
      </c>
      <c r="S52" s="229">
        <f>D52*所得税项目计算!$F$2</f>
        <v>0</v>
      </c>
      <c r="T52" s="229">
        <f>Q52*所得税项目计算!$F$2</f>
        <v>0</v>
      </c>
    </row>
    <row r="53" spans="1:20">
      <c r="A53" s="229" t="str">
        <f>IF(OR(ABS(C53)&gt;0,ABS(F53)&gt;0,ABS(K53)&gt;0,ABS(P53)&gt;0),基础信息!$B$1,"")</f>
        <v/>
      </c>
      <c r="B53" s="547"/>
      <c r="C53" s="259">
        <f t="shared" si="0"/>
        <v>0</v>
      </c>
      <c r="D53" s="288"/>
      <c r="E53" s="288"/>
      <c r="F53" s="259">
        <f t="shared" si="1"/>
        <v>0</v>
      </c>
      <c r="G53" s="259">
        <f t="shared" si="2"/>
        <v>0</v>
      </c>
      <c r="H53" s="288"/>
      <c r="I53" s="288"/>
      <c r="J53" s="288"/>
      <c r="K53" s="288"/>
      <c r="L53" s="259">
        <f t="shared" si="3"/>
        <v>0</v>
      </c>
      <c r="M53" s="288"/>
      <c r="N53" s="288"/>
      <c r="O53" s="288"/>
      <c r="P53" s="229">
        <f t="shared" si="6"/>
        <v>0</v>
      </c>
      <c r="Q53" s="229">
        <f t="shared" si="6"/>
        <v>0</v>
      </c>
      <c r="R53" s="229">
        <f t="shared" si="5"/>
        <v>0</v>
      </c>
      <c r="S53" s="229">
        <f>D53*所得税项目计算!$F$2</f>
        <v>0</v>
      </c>
      <c r="T53" s="229">
        <f>Q53*所得税项目计算!$F$2</f>
        <v>0</v>
      </c>
    </row>
    <row r="54" spans="1:20">
      <c r="A54" s="229" t="str">
        <f>IF(OR(ABS(C54)&gt;0,ABS(F54)&gt;0,ABS(K54)&gt;0,ABS(P54)&gt;0),基础信息!$B$1,"")</f>
        <v/>
      </c>
      <c r="B54" s="547"/>
      <c r="C54" s="259">
        <f t="shared" si="0"/>
        <v>0</v>
      </c>
      <c r="D54" s="288"/>
      <c r="E54" s="288"/>
      <c r="F54" s="259">
        <f t="shared" si="1"/>
        <v>0</v>
      </c>
      <c r="G54" s="259">
        <f t="shared" si="2"/>
        <v>0</v>
      </c>
      <c r="H54" s="288"/>
      <c r="I54" s="288"/>
      <c r="J54" s="288"/>
      <c r="K54" s="288"/>
      <c r="L54" s="259">
        <f t="shared" si="3"/>
        <v>0</v>
      </c>
      <c r="M54" s="288"/>
      <c r="N54" s="288"/>
      <c r="O54" s="288"/>
      <c r="P54" s="229">
        <f t="shared" si="6"/>
        <v>0</v>
      </c>
      <c r="Q54" s="229">
        <f t="shared" si="6"/>
        <v>0</v>
      </c>
      <c r="R54" s="229">
        <f t="shared" si="5"/>
        <v>0</v>
      </c>
      <c r="S54" s="229">
        <f>D54*所得税项目计算!$F$2</f>
        <v>0</v>
      </c>
      <c r="T54" s="229">
        <f>Q54*所得税项目计算!$F$2</f>
        <v>0</v>
      </c>
    </row>
    <row r="55" spans="1:20">
      <c r="A55" s="229" t="str">
        <f>IF(OR(ABS(C55)&gt;0,ABS(F55)&gt;0,ABS(K55)&gt;0,ABS(P55)&gt;0),基础信息!$B$1,"")</f>
        <v/>
      </c>
      <c r="B55" s="547"/>
      <c r="C55" s="259">
        <f t="shared" si="0"/>
        <v>0</v>
      </c>
      <c r="D55" s="288"/>
      <c r="E55" s="288"/>
      <c r="F55" s="259">
        <f t="shared" si="1"/>
        <v>0</v>
      </c>
      <c r="G55" s="259">
        <f t="shared" si="2"/>
        <v>0</v>
      </c>
      <c r="H55" s="288"/>
      <c r="I55" s="288"/>
      <c r="J55" s="288"/>
      <c r="K55" s="288"/>
      <c r="L55" s="259">
        <f t="shared" si="3"/>
        <v>0</v>
      </c>
      <c r="M55" s="288"/>
      <c r="N55" s="288"/>
      <c r="O55" s="288"/>
      <c r="P55" s="229">
        <f t="shared" si="6"/>
        <v>0</v>
      </c>
      <c r="Q55" s="229">
        <f t="shared" si="6"/>
        <v>0</v>
      </c>
      <c r="R55" s="229">
        <f t="shared" si="5"/>
        <v>0</v>
      </c>
      <c r="S55" s="229">
        <f>D55*所得税项目计算!$F$2</f>
        <v>0</v>
      </c>
      <c r="T55" s="229">
        <f>Q55*所得税项目计算!$F$2</f>
        <v>0</v>
      </c>
    </row>
    <row r="56" spans="1:20">
      <c r="A56" s="229" t="str">
        <f>IF(OR(ABS(C56)&gt;0,ABS(F56)&gt;0,ABS(K56)&gt;0,ABS(P56)&gt;0),基础信息!$B$1,"")</f>
        <v/>
      </c>
      <c r="B56" s="547"/>
      <c r="C56" s="259">
        <f t="shared" si="0"/>
        <v>0</v>
      </c>
      <c r="D56" s="288"/>
      <c r="E56" s="288"/>
      <c r="F56" s="259">
        <f t="shared" si="1"/>
        <v>0</v>
      </c>
      <c r="G56" s="259">
        <f t="shared" si="2"/>
        <v>0</v>
      </c>
      <c r="H56" s="288"/>
      <c r="I56" s="288"/>
      <c r="J56" s="288"/>
      <c r="K56" s="288"/>
      <c r="L56" s="259">
        <f t="shared" si="3"/>
        <v>0</v>
      </c>
      <c r="M56" s="288"/>
      <c r="N56" s="288"/>
      <c r="O56" s="288"/>
      <c r="P56" s="229">
        <f t="shared" si="6"/>
        <v>0</v>
      </c>
      <c r="Q56" s="229">
        <f t="shared" si="6"/>
        <v>0</v>
      </c>
      <c r="R56" s="229">
        <f t="shared" si="5"/>
        <v>0</v>
      </c>
      <c r="S56" s="229">
        <f>D56*所得税项目计算!$F$2</f>
        <v>0</v>
      </c>
      <c r="T56" s="229">
        <f>Q56*所得税项目计算!$F$2</f>
        <v>0</v>
      </c>
    </row>
    <row r="57" spans="1:20">
      <c r="A57" s="229" t="str">
        <f>IF(OR(ABS(C57)&gt;0,ABS(F57)&gt;0,ABS(K57)&gt;0,ABS(P57)&gt;0),基础信息!$B$1,"")</f>
        <v/>
      </c>
      <c r="B57" s="547"/>
      <c r="C57" s="259">
        <f t="shared" si="0"/>
        <v>0</v>
      </c>
      <c r="D57" s="288"/>
      <c r="E57" s="288"/>
      <c r="F57" s="259">
        <f t="shared" si="1"/>
        <v>0</v>
      </c>
      <c r="G57" s="259">
        <f t="shared" si="2"/>
        <v>0</v>
      </c>
      <c r="H57" s="288"/>
      <c r="I57" s="288"/>
      <c r="J57" s="288"/>
      <c r="K57" s="288"/>
      <c r="L57" s="259">
        <f t="shared" si="3"/>
        <v>0</v>
      </c>
      <c r="M57" s="288"/>
      <c r="N57" s="288"/>
      <c r="O57" s="288"/>
      <c r="P57" s="229">
        <f t="shared" si="6"/>
        <v>0</v>
      </c>
      <c r="Q57" s="229">
        <f t="shared" si="6"/>
        <v>0</v>
      </c>
      <c r="R57" s="229">
        <f t="shared" si="5"/>
        <v>0</v>
      </c>
      <c r="S57" s="229">
        <f>D57*所得税项目计算!$F$2</f>
        <v>0</v>
      </c>
      <c r="T57" s="229">
        <f>Q57*所得税项目计算!$F$2</f>
        <v>0</v>
      </c>
    </row>
    <row r="58" spans="1:20">
      <c r="A58" s="229" t="str">
        <f>IF(OR(ABS(C58)&gt;0,ABS(F58)&gt;0,ABS(K58)&gt;0,ABS(P58)&gt;0),基础信息!$B$1,"")</f>
        <v/>
      </c>
      <c r="C58" s="259">
        <f t="shared" si="0"/>
        <v>0</v>
      </c>
      <c r="F58" s="259">
        <f t="shared" si="1"/>
        <v>0</v>
      </c>
    </row>
    <row r="59" spans="1:20">
      <c r="A59" s="229" t="str">
        <f>IF(OR(ABS(C59)&gt;0,ABS(F59)&gt;0,ABS(K59)&gt;0,ABS(P59)&gt;0),基础信息!$B$1,"")</f>
        <v/>
      </c>
      <c r="C59" s="259">
        <f t="shared" si="0"/>
        <v>0</v>
      </c>
      <c r="F59" s="259">
        <f t="shared" si="1"/>
        <v>0</v>
      </c>
    </row>
    <row r="60" spans="1:20">
      <c r="A60" s="229" t="str">
        <f>IF(OR(ABS(C60)&gt;0,ABS(F60)&gt;0,ABS(K60)&gt;0,ABS(P60)&gt;0),基础信息!$B$1,"")</f>
        <v/>
      </c>
      <c r="C60" s="259">
        <f t="shared" si="0"/>
        <v>0</v>
      </c>
      <c r="F60" s="259">
        <f t="shared" si="1"/>
        <v>0</v>
      </c>
    </row>
    <row r="61" spans="1:20">
      <c r="A61" s="229" t="str">
        <f>IF(OR(ABS(C61)&gt;0,ABS(F61)&gt;0,ABS(K61)&gt;0,ABS(P61)&gt;0),基础信息!$B$1,"")</f>
        <v/>
      </c>
      <c r="C61" s="259">
        <f t="shared" si="0"/>
        <v>0</v>
      </c>
      <c r="F61" s="259">
        <f t="shared" si="1"/>
        <v>0</v>
      </c>
    </row>
    <row r="62" spans="1:20">
      <c r="A62" s="229" t="str">
        <f>IF(OR(ABS(C62)&gt;0,ABS(F62)&gt;0,ABS(K62)&gt;0,ABS(P62)&gt;0),基础信息!$B$1,"")</f>
        <v/>
      </c>
      <c r="C62" s="259">
        <f t="shared" si="0"/>
        <v>0</v>
      </c>
      <c r="F62" s="259">
        <f t="shared" si="1"/>
        <v>0</v>
      </c>
    </row>
    <row r="63" spans="1:20">
      <c r="A63" s="229" t="str">
        <f>IF(OR(ABS(C63)&gt;0,ABS(F63)&gt;0,ABS(K63)&gt;0,ABS(P63)&gt;0),基础信息!$B$1,"")</f>
        <v/>
      </c>
      <c r="C63" s="259">
        <f t="shared" si="0"/>
        <v>0</v>
      </c>
      <c r="F63" s="259">
        <f t="shared" si="1"/>
        <v>0</v>
      </c>
    </row>
    <row r="64" spans="1:20">
      <c r="A64" s="229" t="str">
        <f>IF(OR(ABS(C64)&gt;0,ABS(F64)&gt;0,ABS(K64)&gt;0,ABS(P64)&gt;0),基础信息!$B$1,"")</f>
        <v/>
      </c>
      <c r="C64" s="259">
        <f t="shared" si="0"/>
        <v>0</v>
      </c>
      <c r="F64" s="259">
        <f t="shared" si="1"/>
        <v>0</v>
      </c>
    </row>
    <row r="65" spans="1:6">
      <c r="A65" s="229" t="str">
        <f>IF(OR(ABS(C65)&gt;0,ABS(F65)&gt;0,ABS(K65)&gt;0,ABS(P65)&gt;0),基础信息!$B$1,"")</f>
        <v/>
      </c>
      <c r="C65" s="259">
        <f t="shared" si="0"/>
        <v>0</v>
      </c>
      <c r="F65" s="259">
        <f t="shared" si="1"/>
        <v>0</v>
      </c>
    </row>
    <row r="66" spans="1:6">
      <c r="A66" s="229" t="str">
        <f>IF(OR(ABS(C66)&gt;0,ABS(F66)&gt;0,ABS(K66)&gt;0,ABS(P66)&gt;0),基础信息!$B$1,"")</f>
        <v/>
      </c>
      <c r="C66" s="259">
        <f t="shared" si="0"/>
        <v>0</v>
      </c>
      <c r="F66" s="259">
        <f t="shared" si="1"/>
        <v>0</v>
      </c>
    </row>
    <row r="67" spans="1:6">
      <c r="A67" s="229" t="str">
        <f>IF(OR(ABS(C67)&gt;0,ABS(F67)&gt;0,ABS(K67)&gt;0,ABS(P67)&gt;0),基础信息!$B$1,"")</f>
        <v/>
      </c>
      <c r="C67" s="259">
        <f t="shared" ref="C67:C68" si="7">D67+E67</f>
        <v>0</v>
      </c>
      <c r="F67" s="259">
        <f t="shared" ref="F67:F68" si="8">G67+J67</f>
        <v>0</v>
      </c>
    </row>
    <row r="68" spans="1:6">
      <c r="A68" s="229" t="str">
        <f>IF(OR(ABS(C68)&gt;0,ABS(F68)&gt;0,ABS(K68)&gt;0,ABS(P68)&gt;0),基础信息!$B$1,"")</f>
        <v/>
      </c>
      <c r="C68" s="259">
        <f t="shared" si="7"/>
        <v>0</v>
      </c>
      <c r="F68" s="259">
        <f t="shared" si="8"/>
        <v>0</v>
      </c>
    </row>
  </sheetData>
  <phoneticPr fontId="1"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51CDD92-A5DF-424D-AF67-A333E4DC9A32}">
          <x14:formula1>
            <xm:f>分类表!$109:$109</xm:f>
          </x14:formula1>
          <xm:sqref>B2:B57</xm:sqref>
        </x14:dataValidation>
      </x14:dataValidations>
    </ext>
  </extLst>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sheetPr codeName="Sheet337"/>
  <dimension ref="A1:I11"/>
  <sheetViews>
    <sheetView workbookViewId="0">
      <selection activeCell="F12" sqref="F12"/>
    </sheetView>
  </sheetViews>
  <sheetFormatPr defaultRowHeight="13.8"/>
  <cols>
    <col min="1" max="1" width="16.109375" bestFit="1" customWidth="1"/>
    <col min="2" max="3" width="8.88671875" style="229"/>
    <col min="4" max="5" width="27.109375" style="229" bestFit="1" customWidth="1"/>
    <col min="6" max="7" width="31.44140625" style="229" bestFit="1" customWidth="1"/>
    <col min="8" max="8" width="6.5546875" style="229" bestFit="1" customWidth="1"/>
    <col min="9" max="9" width="8.88671875" style="229"/>
  </cols>
  <sheetData>
    <row r="1" spans="1:9" ht="14.4">
      <c r="A1" s="493" t="s">
        <v>3039</v>
      </c>
      <c r="B1" s="509" t="s">
        <v>348</v>
      </c>
      <c r="C1" s="509" t="s">
        <v>1629</v>
      </c>
      <c r="D1" s="509" t="s">
        <v>3043</v>
      </c>
      <c r="E1" s="509" t="s">
        <v>3042</v>
      </c>
      <c r="F1" s="229" t="s">
        <v>3041</v>
      </c>
      <c r="G1" s="229" t="s">
        <v>3040</v>
      </c>
      <c r="H1" s="509" t="s">
        <v>2534</v>
      </c>
      <c r="I1" s="229" t="s">
        <v>2535</v>
      </c>
    </row>
    <row r="2" spans="1:9" ht="14.4">
      <c r="A2" s="508"/>
      <c r="B2" s="509"/>
      <c r="C2" s="509"/>
      <c r="D2" s="509"/>
      <c r="E2" s="509"/>
      <c r="H2" s="229">
        <f>B2-D2-E2</f>
        <v>0</v>
      </c>
      <c r="I2" s="229">
        <f>C2-F2-G2</f>
        <v>0</v>
      </c>
    </row>
    <row r="3" spans="1:9" ht="14.4">
      <c r="A3" s="508"/>
      <c r="B3" s="509"/>
      <c r="C3" s="509"/>
      <c r="D3" s="509"/>
      <c r="E3" s="509"/>
      <c r="H3" s="229">
        <f t="shared" ref="H3:H11" si="0">B3-D3-E3</f>
        <v>0</v>
      </c>
      <c r="I3" s="229">
        <f t="shared" ref="I3:I11" si="1">C3-F3-G3</f>
        <v>0</v>
      </c>
    </row>
    <row r="4" spans="1:9" ht="14.4">
      <c r="A4" s="508"/>
      <c r="B4" s="509"/>
      <c r="C4" s="509"/>
      <c r="D4" s="509"/>
      <c r="E4" s="509"/>
      <c r="H4" s="229">
        <f t="shared" si="0"/>
        <v>0</v>
      </c>
      <c r="I4" s="229">
        <f t="shared" si="1"/>
        <v>0</v>
      </c>
    </row>
    <row r="5" spans="1:9" ht="14.4">
      <c r="A5" s="508"/>
      <c r="B5" s="509"/>
      <c r="C5" s="509"/>
      <c r="D5" s="509"/>
      <c r="E5" s="509"/>
      <c r="H5" s="229">
        <f t="shared" si="0"/>
        <v>0</v>
      </c>
      <c r="I5" s="229">
        <f t="shared" si="1"/>
        <v>0</v>
      </c>
    </row>
    <row r="6" spans="1:9" ht="14.4">
      <c r="A6" s="508"/>
      <c r="B6" s="509"/>
      <c r="C6" s="509"/>
      <c r="D6" s="509"/>
      <c r="E6" s="509"/>
      <c r="H6" s="229">
        <f t="shared" si="0"/>
        <v>0</v>
      </c>
      <c r="I6" s="229">
        <f t="shared" si="1"/>
        <v>0</v>
      </c>
    </row>
    <row r="7" spans="1:9" ht="14.4">
      <c r="A7" s="508"/>
      <c r="B7" s="509"/>
      <c r="C7" s="509"/>
      <c r="D7" s="509"/>
      <c r="E7" s="509"/>
      <c r="H7" s="229">
        <f t="shared" si="0"/>
        <v>0</v>
      </c>
      <c r="I7" s="229">
        <f t="shared" si="1"/>
        <v>0</v>
      </c>
    </row>
    <row r="8" spans="1:9" ht="14.4">
      <c r="A8" s="508"/>
      <c r="B8" s="509"/>
      <c r="C8" s="509"/>
      <c r="D8" s="509"/>
      <c r="E8" s="509"/>
      <c r="H8" s="229">
        <f t="shared" si="0"/>
        <v>0</v>
      </c>
      <c r="I8" s="229">
        <f t="shared" si="1"/>
        <v>0</v>
      </c>
    </row>
    <row r="9" spans="1:9" ht="14.4">
      <c r="A9" s="508"/>
      <c r="B9" s="509"/>
      <c r="C9" s="509"/>
      <c r="D9" s="509"/>
      <c r="E9" s="509"/>
      <c r="H9" s="229">
        <f t="shared" si="0"/>
        <v>0</v>
      </c>
      <c r="I9" s="229">
        <f t="shared" si="1"/>
        <v>0</v>
      </c>
    </row>
    <row r="10" spans="1:9">
      <c r="A10" s="255"/>
      <c r="H10" s="229">
        <f t="shared" si="0"/>
        <v>0</v>
      </c>
      <c r="I10" s="229">
        <f t="shared" si="1"/>
        <v>0</v>
      </c>
    </row>
    <row r="11" spans="1:9">
      <c r="A11" s="255"/>
      <c r="H11" s="229">
        <f t="shared" si="0"/>
        <v>0</v>
      </c>
      <c r="I11" s="229">
        <f t="shared" si="1"/>
        <v>0</v>
      </c>
    </row>
  </sheetData>
  <phoneticPr fontId="1"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sheetPr codeName="Sheet338"/>
  <dimension ref="A1:L60"/>
  <sheetViews>
    <sheetView workbookViewId="0">
      <selection activeCell="D52" sqref="D52"/>
    </sheetView>
  </sheetViews>
  <sheetFormatPr defaultRowHeight="14.4"/>
  <cols>
    <col min="1" max="1" width="38.21875" style="493" bestFit="1" customWidth="1"/>
    <col min="2" max="2" width="19" style="494" bestFit="1" customWidth="1"/>
    <col min="3" max="3" width="35.88671875" style="494" bestFit="1" customWidth="1"/>
    <col min="4" max="4" width="35.88671875" style="495" bestFit="1" customWidth="1"/>
    <col min="5" max="5" width="40.5546875" style="495" bestFit="1" customWidth="1"/>
    <col min="6" max="6" width="19.44140625" style="496" bestFit="1" customWidth="1"/>
    <col min="7" max="7" width="13" style="495" bestFit="1" customWidth="1"/>
    <col min="8" max="8" width="33.44140625" style="495" bestFit="1" customWidth="1"/>
    <col min="9" max="9" width="17.33203125" style="495" bestFit="1" customWidth="1"/>
    <col min="10" max="10" width="17.21875" style="495" bestFit="1" customWidth="1"/>
    <col min="11" max="16384" width="8.88671875" style="495"/>
  </cols>
  <sheetData>
    <row r="1" spans="1:12">
      <c r="A1" s="493" t="s">
        <v>28</v>
      </c>
      <c r="B1" s="494" t="s">
        <v>183</v>
      </c>
      <c r="C1" s="494" t="s">
        <v>2942</v>
      </c>
      <c r="D1" s="495" t="s">
        <v>95</v>
      </c>
    </row>
    <row r="2" spans="1:12">
      <c r="A2" s="497" t="s">
        <v>2914</v>
      </c>
      <c r="B2" s="498">
        <f>利润表!B40</f>
        <v>0</v>
      </c>
      <c r="C2" s="497"/>
    </row>
    <row r="3" spans="1:12">
      <c r="A3" s="497" t="s">
        <v>2915</v>
      </c>
      <c r="B3" s="498">
        <f>SUM(B4:B23)</f>
        <v>0</v>
      </c>
      <c r="C3" s="497"/>
    </row>
    <row r="4" spans="1:12">
      <c r="A4" s="499" t="s">
        <v>3281</v>
      </c>
      <c r="B4" s="500">
        <f>所得税项目计算!E10</f>
        <v>0</v>
      </c>
      <c r="C4" s="499" t="s">
        <v>2916</v>
      </c>
      <c r="D4" s="501" t="s">
        <v>696</v>
      </c>
      <c r="F4" s="495"/>
    </row>
    <row r="5" spans="1:12">
      <c r="A5" s="499" t="s">
        <v>3282</v>
      </c>
      <c r="B5" s="500">
        <f>所得税项目计算!E11</f>
        <v>0</v>
      </c>
      <c r="C5" s="499" t="s">
        <v>2917</v>
      </c>
      <c r="D5" s="501" t="s">
        <v>696</v>
      </c>
      <c r="F5" s="495"/>
    </row>
    <row r="6" spans="1:12">
      <c r="A6" s="499" t="s">
        <v>3283</v>
      </c>
      <c r="B6" s="500">
        <f>所得税项目计算!E12</f>
        <v>0</v>
      </c>
      <c r="C6" s="499" t="s">
        <v>3048</v>
      </c>
      <c r="D6" s="501" t="s">
        <v>696</v>
      </c>
      <c r="F6" s="495"/>
    </row>
    <row r="7" spans="1:12">
      <c r="A7" s="499" t="s">
        <v>3284</v>
      </c>
      <c r="B7" s="502">
        <f>所得税项目计算!E13</f>
        <v>0</v>
      </c>
      <c r="C7" s="499" t="s">
        <v>2918</v>
      </c>
      <c r="D7" s="501" t="s">
        <v>696</v>
      </c>
      <c r="F7" s="495"/>
    </row>
    <row r="8" spans="1:12">
      <c r="A8" s="499" t="s">
        <v>3285</v>
      </c>
      <c r="B8" s="502">
        <f>所得税项目计算!E14</f>
        <v>0</v>
      </c>
      <c r="C8" s="499" t="s">
        <v>3018</v>
      </c>
      <c r="D8" s="501" t="s">
        <v>696</v>
      </c>
      <c r="F8" s="495"/>
    </row>
    <row r="9" spans="1:12">
      <c r="A9" s="499" t="s">
        <v>3286</v>
      </c>
      <c r="B9" s="502">
        <f>所得税项目计算!E15</f>
        <v>0</v>
      </c>
      <c r="C9" s="499" t="s">
        <v>3020</v>
      </c>
      <c r="D9" s="501" t="s">
        <v>696</v>
      </c>
      <c r="F9" s="495"/>
    </row>
    <row r="10" spans="1:12">
      <c r="A10" s="499" t="s">
        <v>3287</v>
      </c>
      <c r="B10" s="500">
        <f>所得税项目计算!E16</f>
        <v>0</v>
      </c>
      <c r="C10" s="499" t="s">
        <v>2919</v>
      </c>
      <c r="D10" s="501" t="s">
        <v>696</v>
      </c>
      <c r="F10" s="495"/>
    </row>
    <row r="11" spans="1:12">
      <c r="A11" s="499" t="s">
        <v>2316</v>
      </c>
      <c r="B11" s="502">
        <f>所得税项目计算!E17</f>
        <v>0</v>
      </c>
      <c r="C11" s="499" t="s">
        <v>2920</v>
      </c>
      <c r="D11" s="501" t="s">
        <v>696</v>
      </c>
      <c r="F11" s="495"/>
    </row>
    <row r="12" spans="1:12">
      <c r="A12" s="499" t="s">
        <v>3288</v>
      </c>
      <c r="B12" s="500">
        <f>所得税项目计算!E18</f>
        <v>0</v>
      </c>
      <c r="C12" s="499" t="s">
        <v>2921</v>
      </c>
      <c r="D12" s="495" t="s">
        <v>3036</v>
      </c>
      <c r="F12" s="495"/>
    </row>
    <row r="13" spans="1:12">
      <c r="A13" s="499" t="s">
        <v>3289</v>
      </c>
      <c r="B13" s="500">
        <f>所得税项目计算!E19</f>
        <v>0</v>
      </c>
      <c r="C13" s="499" t="s">
        <v>2922</v>
      </c>
      <c r="D13" s="495" t="s">
        <v>3036</v>
      </c>
      <c r="F13" s="495"/>
      <c r="L13" s="496">
        <f>所得税项目计算!C11+所得税项目计算!C12-短期薪酬列示!C10</f>
        <v>0</v>
      </c>
    </row>
    <row r="14" spans="1:12">
      <c r="A14" s="499" t="s">
        <v>3290</v>
      </c>
      <c r="B14" s="500">
        <f>所得税项目计算!E20</f>
        <v>0</v>
      </c>
      <c r="C14" s="499" t="s">
        <v>2918</v>
      </c>
      <c r="D14" s="501" t="s">
        <v>696</v>
      </c>
      <c r="F14" s="495"/>
    </row>
    <row r="15" spans="1:12">
      <c r="A15" s="499" t="s">
        <v>3291</v>
      </c>
      <c r="B15" s="500">
        <f>所得税项目计算!E21</f>
        <v>0</v>
      </c>
      <c r="C15" s="499" t="s">
        <v>2918</v>
      </c>
      <c r="D15" s="501" t="s">
        <v>696</v>
      </c>
      <c r="F15" s="495"/>
    </row>
    <row r="16" spans="1:12">
      <c r="A16" s="499" t="s">
        <v>3292</v>
      </c>
      <c r="B16" s="500">
        <f>所得税项目计算!E22</f>
        <v>0</v>
      </c>
      <c r="C16" s="499" t="s">
        <v>2918</v>
      </c>
      <c r="D16" s="501" t="s">
        <v>696</v>
      </c>
      <c r="F16" s="495"/>
    </row>
    <row r="17" spans="1:6">
      <c r="A17" s="499" t="s">
        <v>779</v>
      </c>
      <c r="B17" s="500">
        <f>所得税项目计算!E23</f>
        <v>0</v>
      </c>
      <c r="C17" s="499" t="s">
        <v>2918</v>
      </c>
      <c r="D17" s="495" t="s">
        <v>3036</v>
      </c>
      <c r="F17" s="495"/>
    </row>
    <row r="18" spans="1:6">
      <c r="A18" s="499" t="s">
        <v>1157</v>
      </c>
      <c r="B18" s="500">
        <f>所得税项目计算!E24</f>
        <v>0</v>
      </c>
      <c r="C18" s="499" t="s">
        <v>2918</v>
      </c>
      <c r="D18" s="495" t="s">
        <v>3036</v>
      </c>
      <c r="F18" s="495"/>
    </row>
    <row r="19" spans="1:6">
      <c r="A19" s="499" t="s">
        <v>3293</v>
      </c>
      <c r="B19" s="500">
        <f>所得税项目计算!E25</f>
        <v>0</v>
      </c>
      <c r="C19" s="499" t="s">
        <v>2918</v>
      </c>
      <c r="D19" s="501" t="s">
        <v>696</v>
      </c>
      <c r="F19" s="495"/>
    </row>
    <row r="20" spans="1:6">
      <c r="A20" s="499" t="s">
        <v>3280</v>
      </c>
      <c r="B20" s="500">
        <f>所得税项目计算!E26</f>
        <v>0</v>
      </c>
      <c r="C20" s="499" t="s">
        <v>2918</v>
      </c>
      <c r="D20" s="501" t="s">
        <v>696</v>
      </c>
      <c r="F20" s="495"/>
    </row>
    <row r="21" spans="1:6">
      <c r="A21" s="499" t="s">
        <v>3294</v>
      </c>
      <c r="B21" s="500">
        <f>所得税项目计算!E27</f>
        <v>0</v>
      </c>
      <c r="C21" s="499" t="s">
        <v>2918</v>
      </c>
      <c r="D21" s="501" t="s">
        <v>696</v>
      </c>
      <c r="F21" s="495"/>
    </row>
    <row r="22" spans="1:6">
      <c r="A22" s="499" t="s">
        <v>3295</v>
      </c>
      <c r="B22" s="500">
        <f>所得税项目计算!E28</f>
        <v>0</v>
      </c>
      <c r="C22" s="499" t="s">
        <v>3052</v>
      </c>
      <c r="D22" s="501" t="s">
        <v>3036</v>
      </c>
      <c r="F22" s="495"/>
    </row>
    <row r="23" spans="1:6">
      <c r="A23" s="499" t="s">
        <v>3296</v>
      </c>
      <c r="B23" s="500">
        <f>所得税项目计算!E29</f>
        <v>0</v>
      </c>
      <c r="C23" s="499" t="s">
        <v>3032</v>
      </c>
      <c r="D23" s="495" t="s">
        <v>3036</v>
      </c>
      <c r="F23" s="495"/>
    </row>
    <row r="24" spans="1:6">
      <c r="A24" s="497" t="s">
        <v>2923</v>
      </c>
      <c r="B24" s="503">
        <f>SUM(B26:B39)</f>
        <v>0</v>
      </c>
      <c r="C24" s="497"/>
      <c r="F24" s="495"/>
    </row>
    <row r="25" spans="1:6">
      <c r="A25" s="499" t="s">
        <v>3297</v>
      </c>
      <c r="B25" s="503">
        <f>所得税项目计算!E31</f>
        <v>0</v>
      </c>
      <c r="C25" s="497"/>
      <c r="D25" s="495" t="s">
        <v>695</v>
      </c>
      <c r="F25" s="495"/>
    </row>
    <row r="26" spans="1:6">
      <c r="A26" s="499" t="s">
        <v>3298</v>
      </c>
      <c r="B26" s="500">
        <f>所得税项目计算!E32</f>
        <v>0</v>
      </c>
      <c r="C26" s="497"/>
      <c r="D26" s="495" t="s">
        <v>695</v>
      </c>
      <c r="F26" s="495"/>
    </row>
    <row r="27" spans="1:6">
      <c r="A27" s="499" t="s">
        <v>3299</v>
      </c>
      <c r="B27" s="500">
        <f>所得税项目计算!E33</f>
        <v>0</v>
      </c>
      <c r="C27" s="499" t="s">
        <v>2924</v>
      </c>
      <c r="D27" s="495" t="s">
        <v>695</v>
      </c>
      <c r="F27" s="495"/>
    </row>
    <row r="28" spans="1:6">
      <c r="A28" s="499" t="s">
        <v>3300</v>
      </c>
      <c r="B28" s="500">
        <f>所得税项目计算!E34</f>
        <v>0</v>
      </c>
      <c r="C28" s="499" t="s">
        <v>2924</v>
      </c>
      <c r="D28" s="495" t="s">
        <v>695</v>
      </c>
      <c r="F28" s="495"/>
    </row>
    <row r="29" spans="1:6">
      <c r="A29" s="499" t="s">
        <v>3301</v>
      </c>
      <c r="B29" s="500">
        <f>所得税项目计算!E35</f>
        <v>0</v>
      </c>
      <c r="C29" s="499" t="s">
        <v>2924</v>
      </c>
      <c r="D29" s="495" t="s">
        <v>3036</v>
      </c>
      <c r="F29" s="495"/>
    </row>
    <row r="30" spans="1:6">
      <c r="A30" s="499" t="s">
        <v>3302</v>
      </c>
      <c r="B30" s="500">
        <f>所得税项目计算!E36</f>
        <v>0</v>
      </c>
      <c r="C30" s="504" t="s">
        <v>2925</v>
      </c>
      <c r="F30" s="495"/>
    </row>
    <row r="31" spans="1:6">
      <c r="A31" s="499" t="s">
        <v>3303</v>
      </c>
      <c r="B31" s="500">
        <f>所得税项目计算!E37</f>
        <v>0</v>
      </c>
      <c r="C31" s="499" t="s">
        <v>2926</v>
      </c>
      <c r="D31" s="32" t="s">
        <v>2848</v>
      </c>
      <c r="F31" s="495"/>
    </row>
    <row r="32" spans="1:6">
      <c r="A32" s="499" t="s">
        <v>3304</v>
      </c>
      <c r="B32" s="500">
        <f>所得税项目计算!E38</f>
        <v>0</v>
      </c>
      <c r="C32" s="499" t="s">
        <v>2927</v>
      </c>
      <c r="F32" s="495"/>
    </row>
    <row r="33" spans="1:6">
      <c r="A33" s="499" t="s">
        <v>3305</v>
      </c>
      <c r="B33" s="500">
        <f>所得税项目计算!E39</f>
        <v>0</v>
      </c>
      <c r="C33" s="504" t="s">
        <v>2928</v>
      </c>
      <c r="F33" s="495"/>
    </row>
    <row r="34" spans="1:6">
      <c r="A34" s="499" t="s">
        <v>3306</v>
      </c>
      <c r="B34" s="500">
        <f>所得税项目计算!E40</f>
        <v>0</v>
      </c>
      <c r="C34" s="504"/>
      <c r="D34" s="495" t="s">
        <v>3036</v>
      </c>
      <c r="F34" s="495"/>
    </row>
    <row r="35" spans="1:6">
      <c r="A35" s="499" t="s">
        <v>3307</v>
      </c>
      <c r="B35" s="500">
        <f>所得税项目计算!E41</f>
        <v>0</v>
      </c>
      <c r="C35" s="505"/>
      <c r="D35" s="495" t="s">
        <v>3036</v>
      </c>
      <c r="F35" s="495"/>
    </row>
    <row r="36" spans="1:6">
      <c r="A36" s="499" t="s">
        <v>3308</v>
      </c>
      <c r="B36" s="500">
        <f>所得税项目计算!E42</f>
        <v>0</v>
      </c>
      <c r="C36" s="505"/>
      <c r="D36" s="495" t="s">
        <v>3036</v>
      </c>
      <c r="F36" s="495"/>
    </row>
    <row r="37" spans="1:6">
      <c r="A37" s="499" t="s">
        <v>3309</v>
      </c>
      <c r="B37" s="500">
        <f>所得税项目计算!E43</f>
        <v>0</v>
      </c>
      <c r="C37" s="505"/>
      <c r="D37" s="495" t="s">
        <v>3036</v>
      </c>
      <c r="F37" s="495"/>
    </row>
    <row r="38" spans="1:6">
      <c r="A38" s="499" t="s">
        <v>3310</v>
      </c>
      <c r="B38" s="500">
        <f>所得税项目计算!E44</f>
        <v>0</v>
      </c>
      <c r="C38" s="505"/>
      <c r="D38" s="495" t="s">
        <v>3036</v>
      </c>
      <c r="F38" s="495"/>
    </row>
    <row r="39" spans="1:6">
      <c r="A39" s="499" t="s">
        <v>3311</v>
      </c>
      <c r="B39" s="500">
        <f>所得税项目计算!E45</f>
        <v>0</v>
      </c>
      <c r="C39" s="505"/>
      <c r="D39" s="495" t="s">
        <v>3036</v>
      </c>
      <c r="F39" s="495"/>
    </row>
    <row r="40" spans="1:6">
      <c r="A40" s="497" t="s">
        <v>2929</v>
      </c>
      <c r="B40" s="500">
        <f>SUM(B41:B43)</f>
        <v>0</v>
      </c>
      <c r="C40" s="505"/>
      <c r="F40" s="495"/>
    </row>
    <row r="41" spans="1:6">
      <c r="A41" s="499" t="s">
        <v>2930</v>
      </c>
      <c r="B41" s="500">
        <f>所得税项目计算!B56</f>
        <v>0</v>
      </c>
      <c r="C41" s="505"/>
      <c r="F41" s="495"/>
    </row>
    <row r="42" spans="1:6">
      <c r="A42" s="499" t="s">
        <v>2931</v>
      </c>
      <c r="B42" s="500">
        <f>所得税项目计算!E54</f>
        <v>0</v>
      </c>
      <c r="C42" s="505"/>
      <c r="F42" s="495"/>
    </row>
    <row r="43" spans="1:6">
      <c r="A43" s="499" t="s">
        <v>2932</v>
      </c>
      <c r="B43" s="500">
        <f>-所得税项目计算!E60</f>
        <v>0</v>
      </c>
      <c r="C43" s="505"/>
      <c r="F43" s="495"/>
    </row>
    <row r="44" spans="1:6">
      <c r="A44" s="497" t="s">
        <v>2933</v>
      </c>
      <c r="B44" s="498">
        <f>B2+B3-B24+B40</f>
        <v>0</v>
      </c>
      <c r="C44" s="497"/>
      <c r="F44" s="495"/>
    </row>
    <row r="45" spans="1:6">
      <c r="A45" s="497" t="s">
        <v>2934</v>
      </c>
      <c r="B45" s="498">
        <f>IF((可抵扣亏损!C12&gt;0)*AND(当期所得税费用计算表!B44&gt;0),IF(当期所得税费用计算表!B44&gt;可抵扣亏损!C12,可抵扣亏损!C12,当期所得税费用计算表!B44),0)</f>
        <v>0</v>
      </c>
      <c r="C45" s="497"/>
      <c r="F45" s="495"/>
    </row>
    <row r="46" spans="1:6">
      <c r="A46" s="497" t="s">
        <v>2935</v>
      </c>
      <c r="B46" s="498">
        <f>B44-B45</f>
        <v>0</v>
      </c>
      <c r="C46" s="497"/>
      <c r="F46" s="495"/>
    </row>
    <row r="47" spans="1:6">
      <c r="A47" s="504" t="s">
        <v>2936</v>
      </c>
      <c r="B47" s="506">
        <v>0.25</v>
      </c>
      <c r="C47" s="499"/>
      <c r="F47" s="495"/>
    </row>
    <row r="48" spans="1:6">
      <c r="A48" s="497" t="s">
        <v>2937</v>
      </c>
      <c r="B48" s="498">
        <f>ROUND(B46*B47,3)</f>
        <v>0</v>
      </c>
      <c r="C48" s="497"/>
      <c r="F48" s="495"/>
    </row>
    <row r="49" spans="1:6">
      <c r="A49" s="504" t="s">
        <v>2938</v>
      </c>
      <c r="B49" s="500"/>
      <c r="C49" s="499"/>
      <c r="F49" s="495"/>
    </row>
    <row r="50" spans="1:6">
      <c r="A50" s="497" t="s">
        <v>2939</v>
      </c>
      <c r="B50" s="498">
        <f>IF((B48-B49)&lt;0,0,(B48-B49))</f>
        <v>0</v>
      </c>
      <c r="C50" s="497"/>
      <c r="F50" s="495"/>
    </row>
    <row r="51" spans="1:6">
      <c r="A51" s="499" t="s">
        <v>2940</v>
      </c>
      <c r="B51" s="507">
        <f>所得税项目计算!F3</f>
        <v>0</v>
      </c>
      <c r="C51" s="499"/>
      <c r="F51" s="495"/>
    </row>
    <row r="52" spans="1:6">
      <c r="A52" s="497" t="s">
        <v>2941</v>
      </c>
      <c r="B52" s="498">
        <f>B50-B51</f>
        <v>0</v>
      </c>
      <c r="C52" s="497"/>
      <c r="F52" s="495"/>
    </row>
    <row r="53" spans="1:6">
      <c r="F53" s="495"/>
    </row>
    <row r="54" spans="1:6">
      <c r="F54" s="495"/>
    </row>
    <row r="55" spans="1:6">
      <c r="A55" s="495"/>
      <c r="B55" s="495"/>
      <c r="C55" s="495"/>
      <c r="F55" s="495"/>
    </row>
    <row r="56" spans="1:6">
      <c r="A56" s="495"/>
      <c r="B56" s="495"/>
      <c r="C56" s="495"/>
      <c r="F56" s="495"/>
    </row>
    <row r="57" spans="1:6">
      <c r="A57" s="495"/>
      <c r="B57" s="495"/>
      <c r="C57" s="495"/>
      <c r="F57" s="495"/>
    </row>
    <row r="58" spans="1:6">
      <c r="A58" s="495"/>
      <c r="B58" s="495"/>
      <c r="C58" s="495"/>
      <c r="F58" s="495"/>
    </row>
    <row r="59" spans="1:6">
      <c r="A59" s="495"/>
      <c r="B59" s="495"/>
      <c r="C59" s="495"/>
      <c r="F59" s="495"/>
    </row>
    <row r="60" spans="1:6">
      <c r="A60" s="495"/>
      <c r="B60" s="495"/>
      <c r="C60" s="495"/>
    </row>
  </sheetData>
  <phoneticPr fontId="1" type="noConversion"/>
  <pageMargins left="0.7" right="0.7" top="0.75" bottom="0.75" header="0.3" footer="0.3"/>
</worksheet>
</file>

<file path=xl/worksheets/sheet3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sheetPr codeName="Sheet339"/>
  <dimension ref="A1:F60"/>
  <sheetViews>
    <sheetView workbookViewId="0">
      <selection activeCell="G7" sqref="G7"/>
    </sheetView>
  </sheetViews>
  <sheetFormatPr defaultRowHeight="13.8"/>
  <cols>
    <col min="1" max="1" width="46.109375" bestFit="1" customWidth="1"/>
    <col min="2" max="2" width="34" bestFit="1" customWidth="1"/>
    <col min="3" max="3" width="14.88671875" bestFit="1" customWidth="1"/>
    <col min="4" max="4" width="33.44140625" bestFit="1" customWidth="1"/>
    <col min="5" max="5" width="17.33203125" bestFit="1" customWidth="1"/>
    <col min="6" max="6" width="31.88671875" bestFit="1" customWidth="1"/>
  </cols>
  <sheetData>
    <row r="1" spans="1:6">
      <c r="A1" s="433" t="s">
        <v>2912</v>
      </c>
      <c r="B1" s="433" t="s">
        <v>1558</v>
      </c>
      <c r="C1" s="434"/>
      <c r="D1" s="435"/>
      <c r="E1" s="433" t="s">
        <v>2912</v>
      </c>
      <c r="F1" s="433" t="s">
        <v>1558</v>
      </c>
    </row>
    <row r="2" spans="1:6">
      <c r="A2" s="436" t="s">
        <v>2943</v>
      </c>
      <c r="B2" s="420">
        <f>利润表!B3</f>
        <v>0</v>
      </c>
      <c r="C2" s="421"/>
      <c r="D2" s="437"/>
      <c r="E2" s="438" t="s">
        <v>2944</v>
      </c>
      <c r="F2" s="439">
        <v>0.25</v>
      </c>
    </row>
    <row r="3" spans="1:6">
      <c r="A3" s="436" t="s">
        <v>2945</v>
      </c>
      <c r="B3" s="422">
        <f>利润表!B40</f>
        <v>0</v>
      </c>
      <c r="C3" s="421"/>
      <c r="D3" s="437"/>
      <c r="E3" s="438" t="s">
        <v>2940</v>
      </c>
      <c r="F3" s="489"/>
    </row>
    <row r="4" spans="1:6">
      <c r="A4" s="436" t="s">
        <v>2946</v>
      </c>
      <c r="B4" s="423">
        <f>短期薪酬列示!C2</f>
        <v>0</v>
      </c>
      <c r="C4" s="421"/>
      <c r="D4" s="437"/>
      <c r="E4" s="440"/>
      <c r="F4" s="440"/>
    </row>
    <row r="5" spans="1:6">
      <c r="A5" s="436" t="s">
        <v>3023</v>
      </c>
      <c r="B5" s="490"/>
      <c r="C5" s="421"/>
      <c r="D5" s="437"/>
      <c r="E5" s="484"/>
      <c r="F5" s="484"/>
    </row>
    <row r="6" spans="1:6">
      <c r="A6" s="436" t="s">
        <v>3024</v>
      </c>
      <c r="B6" s="490"/>
      <c r="C6" s="421"/>
      <c r="D6" s="437"/>
      <c r="E6" s="484"/>
      <c r="F6" s="484"/>
    </row>
    <row r="7" spans="1:6">
      <c r="A7" s="436" t="s">
        <v>3034</v>
      </c>
      <c r="B7" s="490"/>
      <c r="C7" s="421"/>
      <c r="D7" s="437"/>
      <c r="E7" s="484"/>
      <c r="F7" s="484"/>
    </row>
    <row r="8" spans="1:6" ht="14.4" thickBot="1">
      <c r="A8" s="441"/>
      <c r="B8" s="441"/>
      <c r="C8" s="441"/>
      <c r="D8" s="441"/>
      <c r="E8" s="441"/>
      <c r="F8" s="441"/>
    </row>
    <row r="9" spans="1:6">
      <c r="A9" s="442" t="s">
        <v>2947</v>
      </c>
      <c r="B9" s="443" t="s">
        <v>2913</v>
      </c>
      <c r="C9" s="443" t="s">
        <v>2948</v>
      </c>
      <c r="D9" s="443" t="s">
        <v>2949</v>
      </c>
      <c r="E9" s="443" t="s">
        <v>2950</v>
      </c>
      <c r="F9" s="474" t="s">
        <v>2951</v>
      </c>
    </row>
    <row r="10" spans="1:6">
      <c r="A10" s="444" t="s">
        <v>2952</v>
      </c>
      <c r="B10" s="438" t="s">
        <v>2953</v>
      </c>
      <c r="C10" s="424">
        <f>短期薪酬列示!C3</f>
        <v>0</v>
      </c>
      <c r="D10" s="425">
        <f>ROUND($B$4*14%,2)</f>
        <v>0</v>
      </c>
      <c r="E10" s="425">
        <f t="shared" ref="E10:E27" si="0">IF(C10&gt;D10,C10-D10,0)</f>
        <v>0</v>
      </c>
      <c r="F10" s="472"/>
    </row>
    <row r="11" spans="1:6">
      <c r="A11" s="444" t="s">
        <v>2954</v>
      </c>
      <c r="B11" s="438" t="s">
        <v>2955</v>
      </c>
      <c r="C11" s="432"/>
      <c r="D11" s="425">
        <f>ROUND(B4*2%,2)</f>
        <v>0</v>
      </c>
      <c r="E11" s="425">
        <f t="shared" si="0"/>
        <v>0</v>
      </c>
      <c r="F11" s="475" t="s">
        <v>2956</v>
      </c>
    </row>
    <row r="12" spans="1:6">
      <c r="A12" s="444" t="s">
        <v>2957</v>
      </c>
      <c r="B12" s="438" t="s">
        <v>3035</v>
      </c>
      <c r="C12" s="432"/>
      <c r="D12" s="425">
        <f>IF(ROUND(B4*8%,2)&gt;B7,B7,ROUND(B4*8%,2))</f>
        <v>0</v>
      </c>
      <c r="E12" s="425">
        <f t="shared" si="0"/>
        <v>0</v>
      </c>
      <c r="F12" s="476" t="s">
        <v>3033</v>
      </c>
    </row>
    <row r="13" spans="1:6">
      <c r="A13" s="444" t="s">
        <v>2958</v>
      </c>
      <c r="B13" s="438" t="s">
        <v>2918</v>
      </c>
      <c r="C13" s="456"/>
      <c r="D13" s="425">
        <v>0</v>
      </c>
      <c r="E13" s="425">
        <f t="shared" si="0"/>
        <v>0</v>
      </c>
      <c r="F13" s="472"/>
    </row>
    <row r="14" spans="1:6" ht="24">
      <c r="A14" s="444" t="s">
        <v>3016</v>
      </c>
      <c r="B14" s="438" t="s">
        <v>3019</v>
      </c>
      <c r="C14" s="456"/>
      <c r="D14" s="425">
        <f>B5*5%</f>
        <v>0</v>
      </c>
      <c r="E14" s="425">
        <f t="shared" si="0"/>
        <v>0</v>
      </c>
      <c r="F14" s="483" t="s">
        <v>3022</v>
      </c>
    </row>
    <row r="15" spans="1:6" ht="24">
      <c r="A15" s="444" t="s">
        <v>3017</v>
      </c>
      <c r="B15" s="438" t="s">
        <v>3021</v>
      </c>
      <c r="C15" s="456"/>
      <c r="D15" s="425">
        <f>B6*5%</f>
        <v>0</v>
      </c>
      <c r="E15" s="425">
        <f t="shared" si="0"/>
        <v>0</v>
      </c>
      <c r="F15" s="483" t="s">
        <v>3022</v>
      </c>
    </row>
    <row r="16" spans="1:6">
      <c r="A16" s="444" t="s">
        <v>2959</v>
      </c>
      <c r="B16" s="438" t="s">
        <v>2960</v>
      </c>
      <c r="C16" s="457"/>
      <c r="D16" s="425"/>
      <c r="E16" s="425">
        <f t="shared" si="0"/>
        <v>0</v>
      </c>
      <c r="F16" s="475" t="s">
        <v>2961</v>
      </c>
    </row>
    <row r="17" spans="1:6">
      <c r="A17" s="444" t="s">
        <v>2962</v>
      </c>
      <c r="B17" s="438" t="s">
        <v>2963</v>
      </c>
      <c r="C17" s="458"/>
      <c r="D17" s="425">
        <f>MIN(ROUND(B2*0.5%,2),ROUND(C17*60%,2))</f>
        <v>0</v>
      </c>
      <c r="E17" s="425">
        <f t="shared" si="0"/>
        <v>0</v>
      </c>
      <c r="F17" s="472"/>
    </row>
    <row r="18" spans="1:6">
      <c r="A18" s="444" t="s">
        <v>2964</v>
      </c>
      <c r="B18" s="438" t="s">
        <v>2965</v>
      </c>
      <c r="C18" s="456"/>
      <c r="D18" s="425">
        <f>ROUND(B2*15%,2)</f>
        <v>0</v>
      </c>
      <c r="E18" s="425">
        <f t="shared" si="0"/>
        <v>0</v>
      </c>
      <c r="F18" s="475" t="s">
        <v>2966</v>
      </c>
    </row>
    <row r="19" spans="1:6">
      <c r="A19" s="444" t="s">
        <v>2967</v>
      </c>
      <c r="B19" s="438" t="s">
        <v>2968</v>
      </c>
      <c r="C19" s="456"/>
      <c r="D19" s="425">
        <f>ROUND(B3*12%,2)</f>
        <v>0</v>
      </c>
      <c r="E19" s="425">
        <f t="shared" si="0"/>
        <v>0</v>
      </c>
      <c r="F19" s="475" t="s">
        <v>2969</v>
      </c>
    </row>
    <row r="20" spans="1:6">
      <c r="A20" s="444" t="s">
        <v>2970</v>
      </c>
      <c r="B20" s="438" t="s">
        <v>2918</v>
      </c>
      <c r="C20" s="456"/>
      <c r="D20" s="425">
        <v>0</v>
      </c>
      <c r="E20" s="425">
        <f t="shared" si="0"/>
        <v>0</v>
      </c>
      <c r="F20" s="475" t="s">
        <v>2971</v>
      </c>
    </row>
    <row r="21" spans="1:6">
      <c r="A21" s="444" t="s">
        <v>2972</v>
      </c>
      <c r="B21" s="438" t="s">
        <v>2918</v>
      </c>
      <c r="C21" s="456"/>
      <c r="D21" s="425">
        <v>0</v>
      </c>
      <c r="E21" s="425">
        <f t="shared" si="0"/>
        <v>0</v>
      </c>
      <c r="F21" s="472"/>
    </row>
    <row r="22" spans="1:6">
      <c r="A22" s="444" t="s">
        <v>2973</v>
      </c>
      <c r="B22" s="438" t="s">
        <v>2918</v>
      </c>
      <c r="C22" s="456"/>
      <c r="D22" s="425">
        <v>0</v>
      </c>
      <c r="E22" s="425">
        <f t="shared" si="0"/>
        <v>0</v>
      </c>
      <c r="F22" s="475" t="s">
        <v>2974</v>
      </c>
    </row>
    <row r="23" spans="1:6">
      <c r="A23" s="444" t="s">
        <v>2975</v>
      </c>
      <c r="B23" s="438" t="s">
        <v>2918</v>
      </c>
      <c r="C23" s="459">
        <f>利润表!B34</f>
        <v>0</v>
      </c>
      <c r="D23" s="425">
        <v>0</v>
      </c>
      <c r="E23" s="425">
        <f t="shared" si="0"/>
        <v>0</v>
      </c>
      <c r="F23" s="477"/>
    </row>
    <row r="24" spans="1:6">
      <c r="A24" s="444" t="s">
        <v>1156</v>
      </c>
      <c r="B24" s="438" t="s">
        <v>2918</v>
      </c>
      <c r="C24" s="459">
        <f>利润表!B33</f>
        <v>0</v>
      </c>
      <c r="D24" s="425">
        <v>0</v>
      </c>
      <c r="E24" s="425">
        <f t="shared" si="0"/>
        <v>0</v>
      </c>
      <c r="F24" s="477"/>
    </row>
    <row r="25" spans="1:6">
      <c r="A25" s="444" t="s">
        <v>3025</v>
      </c>
      <c r="B25" s="438" t="s">
        <v>2918</v>
      </c>
      <c r="C25" s="456"/>
      <c r="D25" s="425">
        <v>0</v>
      </c>
      <c r="E25" s="425">
        <f t="shared" si="0"/>
        <v>0</v>
      </c>
      <c r="F25" s="472"/>
    </row>
    <row r="26" spans="1:6">
      <c r="A26" s="444" t="s">
        <v>3280</v>
      </c>
      <c r="B26" s="438" t="s">
        <v>2918</v>
      </c>
      <c r="C26" s="456"/>
      <c r="D26" s="425">
        <v>0</v>
      </c>
      <c r="E26" s="425">
        <f t="shared" si="0"/>
        <v>0</v>
      </c>
      <c r="F26" s="472"/>
    </row>
    <row r="27" spans="1:6">
      <c r="A27" s="444" t="s">
        <v>3028</v>
      </c>
      <c r="B27" s="438" t="s">
        <v>3029</v>
      </c>
      <c r="C27" s="456"/>
      <c r="D27" s="428">
        <v>0</v>
      </c>
      <c r="E27" s="428">
        <f t="shared" si="0"/>
        <v>0</v>
      </c>
      <c r="F27" s="472"/>
    </row>
    <row r="28" spans="1:6" ht="24">
      <c r="A28" s="445" t="s">
        <v>3054</v>
      </c>
      <c r="B28" s="446" t="s">
        <v>3029</v>
      </c>
      <c r="C28" s="511"/>
      <c r="D28" s="428"/>
      <c r="E28" s="428">
        <f>C28</f>
        <v>0</v>
      </c>
      <c r="F28" s="520" t="s">
        <v>3051</v>
      </c>
    </row>
    <row r="29" spans="1:6" ht="14.4" thickBot="1">
      <c r="A29" s="445" t="s">
        <v>3030</v>
      </c>
      <c r="B29" s="446" t="s">
        <v>3032</v>
      </c>
      <c r="C29" s="460"/>
      <c r="D29" s="428">
        <v>0</v>
      </c>
      <c r="E29" s="428">
        <f>C29</f>
        <v>0</v>
      </c>
      <c r="F29" s="478" t="s">
        <v>3031</v>
      </c>
    </row>
    <row r="30" spans="1:6" ht="14.4" thickTop="1">
      <c r="A30" s="447" t="s">
        <v>2976</v>
      </c>
      <c r="B30" s="448" t="s">
        <v>2913</v>
      </c>
      <c r="C30" s="448" t="s">
        <v>2948</v>
      </c>
      <c r="D30" s="448" t="s">
        <v>2913</v>
      </c>
      <c r="E30" s="448" t="s">
        <v>2977</v>
      </c>
      <c r="F30" s="479" t="s">
        <v>2951</v>
      </c>
    </row>
    <row r="31" spans="1:6">
      <c r="A31" s="486" t="s">
        <v>3026</v>
      </c>
      <c r="B31" s="487" t="s">
        <v>3027</v>
      </c>
      <c r="C31" s="488"/>
      <c r="D31" s="425">
        <v>0</v>
      </c>
      <c r="E31" s="425">
        <f>C31</f>
        <v>0</v>
      </c>
      <c r="F31" s="485"/>
    </row>
    <row r="32" spans="1:6">
      <c r="A32" s="438" t="s">
        <v>3015</v>
      </c>
      <c r="B32" s="438" t="s">
        <v>2924</v>
      </c>
      <c r="C32" s="461"/>
      <c r="D32" s="425">
        <f>C32</f>
        <v>0</v>
      </c>
      <c r="E32" s="425">
        <f>C32</f>
        <v>0</v>
      </c>
      <c r="F32" s="480"/>
    </row>
    <row r="33" spans="1:6">
      <c r="A33" s="444" t="s">
        <v>2978</v>
      </c>
      <c r="B33" s="438" t="s">
        <v>2924</v>
      </c>
      <c r="C33" s="456"/>
      <c r="D33" s="425">
        <f>C33</f>
        <v>0</v>
      </c>
      <c r="E33" s="425">
        <f>C33</f>
        <v>0</v>
      </c>
      <c r="F33" s="472"/>
    </row>
    <row r="34" spans="1:6">
      <c r="A34" s="450" t="s">
        <v>3001</v>
      </c>
      <c r="B34" s="451" t="s">
        <v>2924</v>
      </c>
      <c r="C34" s="427">
        <f>_xlfn.IFNA(VLOOKUP(所得税项目计算!A34,投资收益!A:B,2,0),0)</f>
        <v>0</v>
      </c>
      <c r="D34" s="429">
        <f>C34</f>
        <v>0</v>
      </c>
      <c r="E34" s="429">
        <f>C34</f>
        <v>0</v>
      </c>
      <c r="F34" s="477"/>
    </row>
    <row r="35" spans="1:6">
      <c r="A35" s="444" t="s">
        <v>2549</v>
      </c>
      <c r="B35" s="438" t="s">
        <v>2924</v>
      </c>
      <c r="C35" s="426">
        <f>利润表!B32</f>
        <v>0</v>
      </c>
      <c r="D35" s="425">
        <f>C35</f>
        <v>0</v>
      </c>
      <c r="E35" s="425">
        <f>C35</f>
        <v>0</v>
      </c>
      <c r="F35" s="472"/>
    </row>
    <row r="36" spans="1:6">
      <c r="A36" s="444" t="s">
        <v>2979</v>
      </c>
      <c r="B36" s="440" t="s">
        <v>2980</v>
      </c>
      <c r="C36" s="456"/>
      <c r="D36" s="425"/>
      <c r="E36" s="425">
        <f>IF(C36&lt;D36,C36,(C36-D36)/2)</f>
        <v>0</v>
      </c>
      <c r="F36" s="475"/>
    </row>
    <row r="37" spans="1:6">
      <c r="A37" s="444" t="s">
        <v>2981</v>
      </c>
      <c r="B37" s="438" t="s">
        <v>2982</v>
      </c>
      <c r="C37" s="457"/>
      <c r="D37" s="425">
        <f>ROUND(C37*50%,2)</f>
        <v>0</v>
      </c>
      <c r="E37" s="425">
        <f>D37</f>
        <v>0</v>
      </c>
      <c r="F37" s="481">
        <v>1</v>
      </c>
    </row>
    <row r="38" spans="1:6">
      <c r="A38" s="444" t="s">
        <v>2983</v>
      </c>
      <c r="B38" s="438" t="s">
        <v>2984</v>
      </c>
      <c r="C38" s="456"/>
      <c r="D38" s="425">
        <f>ROUND(C38*100%,2)</f>
        <v>0</v>
      </c>
      <c r="E38" s="425">
        <f>D38</f>
        <v>0</v>
      </c>
      <c r="F38" s="475" t="s">
        <v>2985</v>
      </c>
    </row>
    <row r="39" spans="1:6">
      <c r="A39" s="444" t="s">
        <v>2986</v>
      </c>
      <c r="B39" s="438" t="s">
        <v>2987</v>
      </c>
      <c r="C39" s="456"/>
      <c r="D39" s="425">
        <f>ROUND(C39*70%,2)</f>
        <v>0</v>
      </c>
      <c r="E39" s="425">
        <f>D39</f>
        <v>0</v>
      </c>
      <c r="F39" s="475" t="s">
        <v>2988</v>
      </c>
    </row>
    <row r="40" spans="1:6">
      <c r="A40" s="444" t="s">
        <v>3014</v>
      </c>
      <c r="B40" s="438"/>
      <c r="C40" s="456"/>
      <c r="D40" s="425">
        <f>C40</f>
        <v>0</v>
      </c>
      <c r="E40" s="425">
        <f>D40</f>
        <v>0</v>
      </c>
      <c r="F40" s="475"/>
    </row>
    <row r="41" spans="1:6">
      <c r="A41" s="444" t="s">
        <v>2989</v>
      </c>
      <c r="B41" s="440"/>
      <c r="C41" s="456"/>
      <c r="D41" s="425">
        <f>IF(E18&gt;0,0,D18-C18)</f>
        <v>0</v>
      </c>
      <c r="E41" s="425">
        <f>IF(C41&lt;D41,C41,D41)</f>
        <v>0</v>
      </c>
      <c r="F41" s="472"/>
    </row>
    <row r="42" spans="1:6">
      <c r="A42" s="444" t="s">
        <v>2990</v>
      </c>
      <c r="B42" s="440"/>
      <c r="C42" s="456"/>
      <c r="D42" s="425">
        <f>IF(E12&gt;0,0,D12-C12)</f>
        <v>0</v>
      </c>
      <c r="E42" s="425">
        <f>IF(C42&lt;D42,C42,D42)</f>
        <v>0</v>
      </c>
      <c r="F42" s="472"/>
    </row>
    <row r="43" spans="1:6">
      <c r="A43" s="445" t="s">
        <v>3037</v>
      </c>
      <c r="B43" s="510"/>
      <c r="C43" s="511"/>
      <c r="D43" s="428">
        <f>IF(E19&lt;0,D19-C19,0)</f>
        <v>0</v>
      </c>
      <c r="E43" s="428">
        <f>D43</f>
        <v>0</v>
      </c>
      <c r="F43" s="478" t="s">
        <v>3038</v>
      </c>
    </row>
    <row r="44" spans="1:6">
      <c r="A44" s="436" t="s">
        <v>3049</v>
      </c>
      <c r="B44" s="440"/>
      <c r="C44" s="456"/>
      <c r="D44" s="425"/>
      <c r="E44" s="425">
        <f>C44</f>
        <v>0</v>
      </c>
      <c r="F44" s="473" t="s">
        <v>3050</v>
      </c>
    </row>
    <row r="45" spans="1:6">
      <c r="A45" s="436" t="s">
        <v>3053</v>
      </c>
      <c r="B45" s="440"/>
      <c r="C45" s="456"/>
      <c r="D45" s="425"/>
      <c r="E45" s="425">
        <f>C45</f>
        <v>0</v>
      </c>
      <c r="F45" s="473"/>
    </row>
    <row r="46" spans="1:6">
      <c r="A46" s="436"/>
      <c r="B46" s="440"/>
      <c r="C46" s="456"/>
      <c r="D46" s="425"/>
      <c r="E46" s="425"/>
      <c r="F46" s="473"/>
    </row>
    <row r="47" spans="1:6" ht="14.4" thickBot="1">
      <c r="A47" s="514"/>
      <c r="B47" s="515"/>
      <c r="C47" s="516"/>
      <c r="D47" s="517"/>
      <c r="E47" s="517"/>
      <c r="F47" s="518"/>
    </row>
    <row r="48" spans="1:6">
      <c r="A48" s="512" t="s">
        <v>2991</v>
      </c>
      <c r="B48" s="449"/>
      <c r="C48" s="449"/>
      <c r="D48" s="449"/>
      <c r="E48" s="449"/>
      <c r="F48" s="513"/>
    </row>
    <row r="49" spans="1:6">
      <c r="A49" s="462" t="s">
        <v>2992</v>
      </c>
      <c r="B49" s="453"/>
      <c r="C49" s="453"/>
      <c r="D49" s="452" t="s">
        <v>2993</v>
      </c>
      <c r="E49" s="453"/>
      <c r="F49" s="463"/>
    </row>
    <row r="50" spans="1:6">
      <c r="A50" s="462" t="s">
        <v>3007</v>
      </c>
      <c r="B50" s="491"/>
      <c r="C50" s="453"/>
      <c r="D50" s="452" t="s">
        <v>3009</v>
      </c>
      <c r="E50" s="491"/>
      <c r="F50" s="482" t="s">
        <v>3012</v>
      </c>
    </row>
    <row r="51" spans="1:6">
      <c r="A51" s="464" t="s">
        <v>3002</v>
      </c>
      <c r="B51" s="491"/>
      <c r="C51" s="454"/>
      <c r="D51" s="452" t="s">
        <v>2994</v>
      </c>
      <c r="E51" s="455">
        <v>0.15</v>
      </c>
      <c r="F51" s="463"/>
    </row>
    <row r="52" spans="1:6">
      <c r="A52" s="462" t="s">
        <v>3003</v>
      </c>
      <c r="B52" s="454">
        <f>ROUND(IF(B50&gt;B51,B50-B51,0),2)</f>
        <v>0</v>
      </c>
      <c r="C52" s="454"/>
      <c r="D52" s="452" t="s">
        <v>2995</v>
      </c>
      <c r="E52" s="454">
        <f>E50*E51</f>
        <v>0</v>
      </c>
      <c r="F52" s="463"/>
    </row>
    <row r="53" spans="1:6">
      <c r="A53" s="462" t="s">
        <v>3008</v>
      </c>
      <c r="B53" s="492"/>
      <c r="C53" s="454"/>
      <c r="D53" s="452" t="s">
        <v>3010</v>
      </c>
      <c r="E53" s="491"/>
      <c r="F53" s="463"/>
    </row>
    <row r="54" spans="1:6">
      <c r="A54" s="464" t="s">
        <v>3004</v>
      </c>
      <c r="B54" s="492"/>
      <c r="C54" s="453"/>
      <c r="D54" s="452" t="s">
        <v>2996</v>
      </c>
      <c r="E54" s="454">
        <f>E52-E53</f>
        <v>0</v>
      </c>
      <c r="F54" s="463"/>
    </row>
    <row r="55" spans="1:6">
      <c r="A55" s="462" t="s">
        <v>3005</v>
      </c>
      <c r="B55" s="430">
        <f>ROUND(IF(B53&gt;B54,B53-B54,0),2)</f>
        <v>0</v>
      </c>
      <c r="C55" s="453"/>
      <c r="D55" s="453"/>
      <c r="E55" s="453"/>
      <c r="F55" s="463"/>
    </row>
    <row r="56" spans="1:6">
      <c r="A56" s="462" t="s">
        <v>3006</v>
      </c>
      <c r="B56" s="430">
        <f>B55-B52</f>
        <v>0</v>
      </c>
      <c r="C56" s="453"/>
      <c r="D56" s="452" t="s">
        <v>2997</v>
      </c>
      <c r="E56" s="492"/>
      <c r="F56" s="482" t="s">
        <v>3011</v>
      </c>
    </row>
    <row r="57" spans="1:6">
      <c r="A57" s="462"/>
      <c r="B57" s="454"/>
      <c r="C57" s="453"/>
      <c r="D57" s="452" t="s">
        <v>2994</v>
      </c>
      <c r="E57" s="431">
        <f>E51</f>
        <v>0.15</v>
      </c>
      <c r="F57" s="463"/>
    </row>
    <row r="58" spans="1:6">
      <c r="A58" s="465"/>
      <c r="B58" s="453"/>
      <c r="C58" s="453"/>
      <c r="D58" s="452" t="s">
        <v>2998</v>
      </c>
      <c r="E58" s="430">
        <f>E56*E57</f>
        <v>0</v>
      </c>
      <c r="F58" s="463"/>
    </row>
    <row r="59" spans="1:6">
      <c r="A59" s="465"/>
      <c r="B59" s="430"/>
      <c r="C59" s="453"/>
      <c r="D59" s="452" t="s">
        <v>3013</v>
      </c>
      <c r="E59" s="492"/>
      <c r="F59" s="463"/>
    </row>
    <row r="60" spans="1:6" ht="14.4" thickBot="1">
      <c r="A60" s="466"/>
      <c r="B60" s="467"/>
      <c r="C60" s="468"/>
      <c r="D60" s="469" t="s">
        <v>2999</v>
      </c>
      <c r="E60" s="470">
        <f>E58-E59</f>
        <v>0</v>
      </c>
      <c r="F60" s="471"/>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codeName="Sheet340">
    <tabColor rgb="FFFFC000"/>
  </sheetPr>
  <dimension ref="A1:D11"/>
  <sheetViews>
    <sheetView workbookViewId="0">
      <selection activeCell="G14" sqref="G14"/>
    </sheetView>
  </sheetViews>
  <sheetFormatPr defaultRowHeight="13.8"/>
  <cols>
    <col min="1" max="1" width="11.6640625" style="18" customWidth="1"/>
    <col min="2" max="2" width="17.21875" style="1" bestFit="1" customWidth="1"/>
    <col min="3" max="3" width="14.109375" style="1" customWidth="1"/>
    <col min="4" max="16384" width="8.88671875" style="18"/>
  </cols>
  <sheetData>
    <row r="1" spans="1:4" ht="14.4">
      <c r="A1" s="31" t="s">
        <v>28</v>
      </c>
      <c r="B1" s="153" t="s">
        <v>577</v>
      </c>
      <c r="C1" s="153" t="s">
        <v>634</v>
      </c>
    </row>
    <row r="2" spans="1:4" ht="14.4">
      <c r="A2" s="377" t="s">
        <v>2836</v>
      </c>
      <c r="B2" s="267">
        <f>ROUND(财务费用分类表!B4,2)</f>
        <v>0</v>
      </c>
      <c r="C2" s="267">
        <f>ROUND(财务费用分类表!C4,2)</f>
        <v>0</v>
      </c>
    </row>
    <row r="3" spans="1:4" ht="14.4">
      <c r="A3" s="377" t="s">
        <v>594</v>
      </c>
      <c r="B3" s="267">
        <f>ROUND(政府补助校验!B9,2)</f>
        <v>0</v>
      </c>
      <c r="C3" s="267"/>
    </row>
    <row r="4" spans="1:4" ht="14.4">
      <c r="A4" s="377" t="s">
        <v>2837</v>
      </c>
      <c r="B4" s="267"/>
      <c r="C4" s="267"/>
    </row>
    <row r="5" spans="1:4" ht="14.4">
      <c r="A5" s="377"/>
      <c r="B5" s="267"/>
      <c r="C5" s="267"/>
    </row>
    <row r="6" spans="1:4" ht="14.4">
      <c r="A6" s="377"/>
      <c r="B6" s="267"/>
      <c r="C6" s="267"/>
    </row>
    <row r="7" spans="1:4" ht="14.4">
      <c r="A7" s="377"/>
      <c r="B7" s="267"/>
      <c r="C7" s="267"/>
    </row>
    <row r="8" spans="1:4" ht="14.4">
      <c r="A8" s="377"/>
      <c r="B8" s="267"/>
      <c r="C8" s="267"/>
    </row>
    <row r="9" spans="1:4" ht="14.4">
      <c r="A9" s="377"/>
      <c r="B9" s="267"/>
      <c r="C9" s="267"/>
    </row>
    <row r="10" spans="1:4" ht="14.4">
      <c r="A10" s="377"/>
      <c r="B10" s="267"/>
      <c r="C10" s="267"/>
    </row>
    <row r="11" spans="1:4" ht="14.4">
      <c r="A11" s="31" t="s">
        <v>204</v>
      </c>
      <c r="B11" s="68">
        <f>ROUND(SUM(B2:B10),2)</f>
        <v>0</v>
      </c>
      <c r="C11" s="68">
        <f>ROUND(SUM(C2:C10),2)</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分类表!$81:$81</xm:f>
          </x14:formula1>
          <xm:sqref>A2:A10</xm:sqref>
        </x14:dataValidation>
      </x14:dataValidations>
    </ext>
  </extLst>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codeName="Sheet341">
    <tabColor rgb="FFFFC000"/>
  </sheetPr>
  <dimension ref="A1:C11"/>
  <sheetViews>
    <sheetView workbookViewId="0">
      <selection activeCell="K16" sqref="K16"/>
    </sheetView>
  </sheetViews>
  <sheetFormatPr defaultRowHeight="13.8"/>
  <cols>
    <col min="1" max="16384" width="8.88671875" style="18"/>
  </cols>
  <sheetData>
    <row r="1" spans="1:3" ht="28.8">
      <c r="A1" s="31" t="s">
        <v>28</v>
      </c>
      <c r="B1" s="20" t="s">
        <v>577</v>
      </c>
      <c r="C1" s="20" t="s">
        <v>634</v>
      </c>
    </row>
    <row r="2" spans="1:3" ht="14.4">
      <c r="A2" s="377"/>
      <c r="B2" s="280"/>
      <c r="C2" s="280"/>
    </row>
    <row r="3" spans="1:3" ht="14.4">
      <c r="A3" s="377"/>
      <c r="B3" s="280"/>
      <c r="C3" s="280"/>
    </row>
    <row r="4" spans="1:3" ht="14.4">
      <c r="A4" s="377"/>
      <c r="B4" s="280"/>
      <c r="C4" s="280"/>
    </row>
    <row r="5" spans="1:3" ht="14.4">
      <c r="A5" s="377"/>
      <c r="B5" s="280"/>
      <c r="C5" s="280"/>
    </row>
    <row r="6" spans="1:3" ht="14.4">
      <c r="A6" s="377"/>
      <c r="B6" s="280"/>
      <c r="C6" s="280"/>
    </row>
    <row r="7" spans="1:3" ht="14.4">
      <c r="A7" s="377"/>
      <c r="B7" s="280"/>
      <c r="C7" s="280"/>
    </row>
    <row r="8" spans="1:3" ht="14.4">
      <c r="A8" s="377"/>
      <c r="B8" s="280"/>
      <c r="C8" s="280"/>
    </row>
    <row r="9" spans="1:3" ht="14.4">
      <c r="A9" s="377"/>
      <c r="B9" s="280"/>
      <c r="C9" s="280"/>
    </row>
    <row r="10" spans="1:3" ht="14.4">
      <c r="A10" s="377"/>
      <c r="B10" s="280"/>
      <c r="C10" s="280"/>
    </row>
    <row r="11" spans="1:3" ht="14.4">
      <c r="A11" s="31" t="s">
        <v>204</v>
      </c>
      <c r="B11" s="21">
        <f>ROUND(SUM(B2:B10),2)</f>
        <v>0</v>
      </c>
      <c r="C11" s="21">
        <f>ROUND(SUM(C2:C10),2)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分类表!$82:$82</xm:f>
          </x14:formula1>
          <xm:sqref>A2:A10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sheetPr codeName="Sheet32">
    <tabColor rgb="FF00B0F0"/>
  </sheetPr>
  <dimension ref="A1:D3"/>
  <sheetViews>
    <sheetView workbookViewId="0">
      <selection activeCell="E25" sqref="E25"/>
    </sheetView>
  </sheetViews>
  <sheetFormatPr defaultRowHeight="13.8"/>
  <cols>
    <col min="1" max="1" width="47.33203125" bestFit="1" customWidth="1"/>
    <col min="2" max="2" width="16.109375" style="229" bestFit="1" customWidth="1"/>
    <col min="3" max="3" width="18.33203125" style="229" bestFit="1" customWidth="1"/>
    <col min="4" max="4" width="8.88671875" style="229"/>
  </cols>
  <sheetData>
    <row r="1" spans="1:4">
      <c r="A1" s="244" t="s">
        <v>95</v>
      </c>
      <c r="B1" s="375" t="s">
        <v>2910</v>
      </c>
      <c r="C1" s="375" t="s">
        <v>2911</v>
      </c>
      <c r="D1" s="375" t="s">
        <v>2351</v>
      </c>
    </row>
    <row r="2" spans="1:4">
      <c r="A2" t="str">
        <f>现金流量表!A46</f>
        <v xml:space="preserve">        其中：子公司吸收少数股东投资收到的现金</v>
      </c>
      <c r="B2" s="229">
        <f>现金流量表!B46</f>
        <v>0</v>
      </c>
      <c r="C2" s="229">
        <f>本期所有者权益变动表!N10</f>
        <v>0</v>
      </c>
      <c r="D2" s="229">
        <f>B2-C2</f>
        <v>0</v>
      </c>
    </row>
    <row r="3" spans="1:4">
      <c r="A3" t="str">
        <f>现金流量表!A53</f>
        <v xml:space="preserve">        其中：子公司支付给少数股东的股利、利润</v>
      </c>
      <c r="B3" s="229">
        <f>现金流量表!B53</f>
        <v>0</v>
      </c>
      <c r="C3" s="229">
        <f>本期所有者权益变动表!N25</f>
        <v>0</v>
      </c>
      <c r="D3" s="229">
        <f>B3-C3</f>
        <v>0</v>
      </c>
    </row>
  </sheetData>
  <phoneticPr fontId="1" type="noConversion"/>
  <pageMargins left="0.7" right="0.7" top="0.75" bottom="0.75" header="0.3" footer="0.3"/>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codeName="Sheet342">
    <tabColor rgb="FFFFC000"/>
  </sheetPr>
  <dimension ref="A1:C9"/>
  <sheetViews>
    <sheetView workbookViewId="0">
      <selection activeCell="J15" sqref="J15"/>
    </sheetView>
  </sheetViews>
  <sheetFormatPr defaultRowHeight="13.8"/>
  <cols>
    <col min="1" max="16384" width="8.88671875" style="18"/>
  </cols>
  <sheetData>
    <row r="1" spans="1:3" ht="28.8">
      <c r="A1" s="31" t="s">
        <v>28</v>
      </c>
      <c r="B1" s="20" t="s">
        <v>577</v>
      </c>
      <c r="C1" s="20" t="s">
        <v>634</v>
      </c>
    </row>
    <row r="2" spans="1:3" ht="14.4">
      <c r="A2" s="377"/>
      <c r="B2" s="280"/>
      <c r="C2" s="280"/>
    </row>
    <row r="3" spans="1:3" ht="14.4">
      <c r="A3" s="377"/>
      <c r="B3" s="280"/>
      <c r="C3" s="280"/>
    </row>
    <row r="4" spans="1:3" ht="14.4">
      <c r="A4" s="377"/>
      <c r="B4" s="280"/>
      <c r="C4" s="280"/>
    </row>
    <row r="5" spans="1:3" ht="14.4">
      <c r="A5" s="377"/>
      <c r="B5" s="280"/>
      <c r="C5" s="280"/>
    </row>
    <row r="6" spans="1:3" ht="14.4">
      <c r="A6" s="377"/>
      <c r="B6" s="280"/>
      <c r="C6" s="280"/>
    </row>
    <row r="7" spans="1:3" ht="14.4">
      <c r="A7" s="377"/>
      <c r="B7" s="280"/>
      <c r="C7" s="280"/>
    </row>
    <row r="8" spans="1:3" ht="14.4">
      <c r="A8" s="377"/>
      <c r="B8" s="280"/>
      <c r="C8" s="280"/>
    </row>
    <row r="9" spans="1:3" ht="14.4">
      <c r="A9" s="31" t="s">
        <v>204</v>
      </c>
      <c r="B9" s="21">
        <f>ROUND(SUM(B2:B8),2)</f>
        <v>0</v>
      </c>
      <c r="C9" s="21">
        <f>ROUND(SUM(C2:C8),2)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分类表!$83:$83</xm:f>
          </x14:formula1>
          <xm:sqref>A2:A8</xm:sqref>
        </x14:dataValidation>
      </x14:dataValidations>
    </ext>
  </extLst>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codeName="Sheet343">
    <tabColor rgb="FFFFC000"/>
  </sheetPr>
  <dimension ref="A1:C9"/>
  <sheetViews>
    <sheetView workbookViewId="0">
      <selection activeCell="I16" sqref="I16"/>
    </sheetView>
  </sheetViews>
  <sheetFormatPr defaultRowHeight="13.8"/>
  <cols>
    <col min="1" max="16384" width="8.88671875" style="18"/>
  </cols>
  <sheetData>
    <row r="1" spans="1:3" ht="28.8">
      <c r="A1" s="31" t="s">
        <v>28</v>
      </c>
      <c r="B1" s="20" t="s">
        <v>577</v>
      </c>
      <c r="C1" s="20" t="s">
        <v>634</v>
      </c>
    </row>
    <row r="2" spans="1:3" ht="14.4">
      <c r="A2" s="377"/>
      <c r="B2" s="280"/>
      <c r="C2" s="280"/>
    </row>
    <row r="3" spans="1:3" ht="14.4">
      <c r="A3" s="377"/>
      <c r="B3" s="280"/>
      <c r="C3" s="280"/>
    </row>
    <row r="4" spans="1:3" ht="14.4">
      <c r="A4" s="377"/>
      <c r="B4" s="280"/>
      <c r="C4" s="280"/>
    </row>
    <row r="5" spans="1:3" ht="14.4">
      <c r="A5" s="377"/>
      <c r="B5" s="280"/>
      <c r="C5" s="280"/>
    </row>
    <row r="6" spans="1:3" ht="14.4">
      <c r="A6" s="377"/>
      <c r="B6" s="280"/>
      <c r="C6" s="280"/>
    </row>
    <row r="7" spans="1:3" ht="14.4">
      <c r="A7" s="377"/>
      <c r="B7" s="280"/>
      <c r="C7" s="280"/>
    </row>
    <row r="8" spans="1:3" ht="14.4">
      <c r="A8" s="377"/>
      <c r="B8" s="280"/>
      <c r="C8" s="280"/>
    </row>
    <row r="9" spans="1:3" ht="14.4">
      <c r="A9" s="31" t="s">
        <v>204</v>
      </c>
      <c r="B9" s="21">
        <f>ROUND(SUM(B2:B8),2)</f>
        <v>0</v>
      </c>
      <c r="C9" s="21">
        <f>ROUND(SUM(C2:C8),2)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分类表!$84:$84</xm:f>
          </x14:formula1>
          <xm:sqref>A2:A8</xm:sqref>
        </x14:dataValidation>
      </x14:dataValidations>
    </ext>
  </extLst>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codeName="Sheet344">
    <tabColor rgb="FFFFC000"/>
  </sheetPr>
  <dimension ref="A1:C8"/>
  <sheetViews>
    <sheetView workbookViewId="0">
      <selection activeCell="B8" sqref="B8:C8"/>
    </sheetView>
  </sheetViews>
  <sheetFormatPr defaultRowHeight="13.8"/>
  <cols>
    <col min="1" max="16384" width="8.88671875" style="18"/>
  </cols>
  <sheetData>
    <row r="1" spans="1:3" ht="28.8">
      <c r="A1" s="31" t="s">
        <v>28</v>
      </c>
      <c r="B1" s="20" t="s">
        <v>577</v>
      </c>
      <c r="C1" s="20" t="s">
        <v>634</v>
      </c>
    </row>
    <row r="2" spans="1:3" ht="14.4">
      <c r="A2" s="377"/>
      <c r="B2" s="280"/>
      <c r="C2" s="280"/>
    </row>
    <row r="3" spans="1:3" ht="14.4">
      <c r="A3" s="377"/>
      <c r="B3" s="280"/>
      <c r="C3" s="280"/>
    </row>
    <row r="4" spans="1:3" ht="14.4">
      <c r="A4" s="377"/>
      <c r="B4" s="280"/>
      <c r="C4" s="280"/>
    </row>
    <row r="5" spans="1:3" ht="14.4">
      <c r="A5" s="377"/>
      <c r="B5" s="280"/>
      <c r="C5" s="280"/>
    </row>
    <row r="6" spans="1:3" ht="14.4">
      <c r="A6" s="377"/>
      <c r="B6" s="280"/>
      <c r="C6" s="280"/>
    </row>
    <row r="7" spans="1:3" ht="14.4">
      <c r="A7" s="377"/>
      <c r="B7" s="280"/>
      <c r="C7" s="280"/>
    </row>
    <row r="8" spans="1:3" ht="14.4">
      <c r="A8" s="31" t="s">
        <v>204</v>
      </c>
      <c r="B8" s="21">
        <f>ROUND(SUM(B2:B7),2)</f>
        <v>0</v>
      </c>
      <c r="C8" s="21">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分类表!$85:$85</xm:f>
          </x14:formula1>
          <xm:sqref>A2:A7</xm:sqref>
        </x14:dataValidation>
      </x14:dataValidations>
    </ext>
  </extLst>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codeName="Sheet345">
    <tabColor rgb="FFFFC000"/>
  </sheetPr>
  <dimension ref="A1:D9"/>
  <sheetViews>
    <sheetView workbookViewId="0">
      <selection activeCell="M24" sqref="M24"/>
    </sheetView>
  </sheetViews>
  <sheetFormatPr defaultRowHeight="13.8"/>
  <cols>
    <col min="1" max="16384" width="8.88671875" style="18"/>
  </cols>
  <sheetData>
    <row r="1" spans="1:4" ht="28.8">
      <c r="A1" s="31" t="s">
        <v>28</v>
      </c>
      <c r="B1" s="20" t="s">
        <v>577</v>
      </c>
      <c r="C1" s="20" t="s">
        <v>634</v>
      </c>
    </row>
    <row r="2" spans="1:4" ht="14.4">
      <c r="A2" s="377"/>
      <c r="B2" s="280"/>
      <c r="C2" s="280"/>
    </row>
    <row r="3" spans="1:4" ht="14.4">
      <c r="A3" s="377"/>
      <c r="B3" s="280"/>
      <c r="C3" s="280"/>
    </row>
    <row r="4" spans="1:4" ht="14.4">
      <c r="A4" s="377"/>
      <c r="B4" s="280"/>
      <c r="C4" s="280"/>
    </row>
    <row r="5" spans="1:4" ht="14.4">
      <c r="A5" s="377"/>
      <c r="B5" s="280"/>
      <c r="C5" s="280"/>
    </row>
    <row r="6" spans="1:4" ht="14.4">
      <c r="A6" s="377"/>
      <c r="B6" s="280"/>
      <c r="C6" s="280"/>
    </row>
    <row r="7" spans="1:4" ht="14.4">
      <c r="A7" s="377"/>
      <c r="B7" s="280"/>
      <c r="C7" s="280"/>
    </row>
    <row r="8" spans="1:4" ht="14.4">
      <c r="A8" s="377"/>
      <c r="B8" s="280"/>
      <c r="C8" s="280"/>
    </row>
    <row r="9" spans="1:4" ht="14.4">
      <c r="A9" s="31" t="s">
        <v>204</v>
      </c>
      <c r="B9" s="21">
        <f>ROUND(SUM(B2:B8),2)</f>
        <v>0</v>
      </c>
      <c r="C9" s="21">
        <f>ROUND(SUM(C2:C8),2)</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分类表!$86:$86</xm:f>
          </x14:formula1>
          <xm:sqref>A2:A8</xm:sqref>
        </x14:dataValidation>
      </x14:dataValidations>
    </ext>
  </extLst>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codeName="Sheet346">
    <tabColor rgb="FFFFC000"/>
  </sheetPr>
  <dimension ref="A1:C32"/>
  <sheetViews>
    <sheetView workbookViewId="0">
      <selection activeCell="E29" sqref="E29"/>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4583</v>
      </c>
      <c r="B1" s="232" t="s">
        <v>4584</v>
      </c>
      <c r="C1" s="232" t="s">
        <v>4585</v>
      </c>
    </row>
    <row r="2" spans="1:3">
      <c r="A2" s="23" t="s">
        <v>699</v>
      </c>
      <c r="B2" s="233">
        <f>ROUND(利润表!B42,2)</f>
        <v>0</v>
      </c>
      <c r="C2" s="233">
        <f>ROUND(利润表!C42,2)</f>
        <v>0</v>
      </c>
    </row>
    <row r="3" spans="1:3">
      <c r="A3" s="23" t="s">
        <v>1630</v>
      </c>
      <c r="B3" s="233">
        <f>ROUND(-利润表!B34,2)</f>
        <v>0</v>
      </c>
      <c r="C3" s="233">
        <f>ROUND(-利润表!C34,2)</f>
        <v>0</v>
      </c>
    </row>
    <row r="4" spans="1:3">
      <c r="A4" s="23" t="s">
        <v>1631</v>
      </c>
      <c r="B4" s="233">
        <f>ROUND(-利润表!B33,2)</f>
        <v>0</v>
      </c>
      <c r="C4" s="233">
        <f>ROUND(-利润表!C33,2)</f>
        <v>0</v>
      </c>
    </row>
    <row r="5" spans="1:3">
      <c r="A5" s="23" t="s">
        <v>1634</v>
      </c>
      <c r="B5" s="233">
        <f>ROUND(固定资产情况!F16,2)</f>
        <v>0</v>
      </c>
      <c r="C5" s="310"/>
    </row>
    <row r="6" spans="1:3">
      <c r="A6" s="23" t="s">
        <v>1635</v>
      </c>
      <c r="B6" s="233">
        <f>ROUND(使用权资产!E15,2)</f>
        <v>0</v>
      </c>
      <c r="C6" s="310"/>
    </row>
    <row r="7" spans="1:3">
      <c r="A7" s="23" t="s">
        <v>1637</v>
      </c>
      <c r="B7" s="233">
        <f>ROUND(生产性生物资产!F15,2)</f>
        <v>0</v>
      </c>
      <c r="C7" s="310"/>
    </row>
    <row r="8" spans="1:3">
      <c r="A8" s="23" t="s">
        <v>1636</v>
      </c>
      <c r="B8" s="233">
        <f>ROUND(采用成本计量模式的投资性房地产上市公司!D16,2)</f>
        <v>0</v>
      </c>
      <c r="C8" s="310"/>
    </row>
    <row r="9" spans="1:3">
      <c r="A9" s="23" t="s">
        <v>700</v>
      </c>
      <c r="B9" s="233">
        <f>ROUND(无形资产!F17,2)</f>
        <v>0</v>
      </c>
      <c r="C9" s="310"/>
    </row>
    <row r="10" spans="1:3">
      <c r="A10" s="23" t="s">
        <v>701</v>
      </c>
      <c r="B10" s="233">
        <f>ROUND(长期待摊费用!D10,2)</f>
        <v>0</v>
      </c>
      <c r="C10" s="310"/>
    </row>
    <row r="11" spans="1:3">
      <c r="A11" s="23" t="s">
        <v>1632</v>
      </c>
      <c r="B11" s="233">
        <f>ROUND(-利润表!B35,2)</f>
        <v>0</v>
      </c>
      <c r="C11" s="233">
        <f>ROUND(-利润表!C35,2)</f>
        <v>0</v>
      </c>
    </row>
    <row r="12" spans="1:3">
      <c r="A12" s="23" t="s">
        <v>1633</v>
      </c>
      <c r="B12" s="233">
        <f>ROUND(_xlfn.IFNA(-VLOOKUP("非流动资产毁损报废利得",营业外收入!A:B,2,0)+VLOOKUP("非流动资产毁损报废损失",营业外支出!A:B,2,0),0),2)</f>
        <v>0</v>
      </c>
      <c r="C12" s="310"/>
    </row>
    <row r="13" spans="1:3">
      <c r="A13" s="23" t="s">
        <v>702</v>
      </c>
      <c r="B13" s="233">
        <f>ROUND(-利润表!B32,2)</f>
        <v>0</v>
      </c>
      <c r="C13" s="310"/>
    </row>
    <row r="14" spans="1:3">
      <c r="A14" s="23" t="s">
        <v>703</v>
      </c>
      <c r="B14" s="233">
        <f>ROUND(SUM(-财务费用分类表!B2,-财务费用分类表!B3,财务费用分类表!B7,财务费用分类表!B9,财务费用分类表!B10,财务费用!B8)-财务费用!B3,2)</f>
        <v>0</v>
      </c>
      <c r="C14" s="310"/>
    </row>
    <row r="15" spans="1:3">
      <c r="A15" s="23" t="s">
        <v>704</v>
      </c>
      <c r="B15" s="233">
        <f>ROUND(-利润表!B27,2)</f>
        <v>0</v>
      </c>
      <c r="C15" s="310"/>
    </row>
    <row r="16" spans="1:3">
      <c r="A16" s="23" t="s">
        <v>705</v>
      </c>
      <c r="B16" s="233">
        <f>ROUND(资产表!C50-资产表!B50,2)</f>
        <v>0</v>
      </c>
      <c r="C16" s="310"/>
    </row>
    <row r="17" spans="1:3">
      <c r="A17" s="23" t="s">
        <v>706</v>
      </c>
      <c r="B17" s="233">
        <f>ROUND(负债表!B42-负债表!C42,2)</f>
        <v>0</v>
      </c>
      <c r="C17" s="310"/>
    </row>
    <row r="18" spans="1:3">
      <c r="A18" s="23" t="s">
        <v>707</v>
      </c>
      <c r="B18" s="353">
        <f>ROUND(存货成本倒闸表!B32,2)</f>
        <v>0</v>
      </c>
      <c r="C18" s="310"/>
    </row>
    <row r="19" spans="1:3">
      <c r="A19" s="23" t="s">
        <v>708</v>
      </c>
      <c r="B19" s="353">
        <f>ROUND(现金流补充资料计算!C2,2)</f>
        <v>0</v>
      </c>
      <c r="C19" s="310"/>
    </row>
    <row r="20" spans="1:3">
      <c r="A20" s="23" t="s">
        <v>709</v>
      </c>
      <c r="B20" s="353">
        <f>ROUND(现金流补充资料计算!C34,2)</f>
        <v>0</v>
      </c>
      <c r="C20" s="310"/>
    </row>
    <row r="21" spans="1:3">
      <c r="A21" s="23" t="s">
        <v>202</v>
      </c>
      <c r="B21" s="353">
        <f>ROUND(现金流补充资料计算!C77,2)</f>
        <v>0</v>
      </c>
      <c r="C21" s="310"/>
    </row>
    <row r="22" spans="1:3">
      <c r="A22" s="23" t="s">
        <v>710</v>
      </c>
      <c r="B22" s="233">
        <f>ROUND(SUM(B2:B21),2)</f>
        <v>0</v>
      </c>
      <c r="C22" s="233">
        <f>ROUND(SUM(C2:C21),2)</f>
        <v>0</v>
      </c>
    </row>
    <row r="23" spans="1:3">
      <c r="A23" s="619"/>
      <c r="B23" s="353"/>
      <c r="C23" s="353"/>
    </row>
    <row r="24" spans="1:3">
      <c r="A24" s="619"/>
      <c r="B24" s="353"/>
      <c r="C24" s="353"/>
    </row>
    <row r="25" spans="1:3">
      <c r="A25" s="619"/>
      <c r="B25" s="353"/>
      <c r="C25" s="353"/>
    </row>
    <row r="26" spans="1:3">
      <c r="A26" s="619"/>
      <c r="B26" s="353"/>
      <c r="C26" s="353"/>
    </row>
    <row r="27" spans="1:3">
      <c r="A27" s="619"/>
      <c r="B27" s="353"/>
      <c r="C27" s="353"/>
    </row>
    <row r="28" spans="1:3">
      <c r="A28" s="619"/>
      <c r="B28" s="353"/>
      <c r="C28" s="353"/>
    </row>
    <row r="29" spans="1:3">
      <c r="A29" s="619"/>
      <c r="B29" s="353"/>
      <c r="C29" s="353"/>
    </row>
    <row r="30" spans="1:3">
      <c r="A30" s="619"/>
      <c r="B30" s="353"/>
      <c r="C30" s="353"/>
    </row>
    <row r="31" spans="1:3">
      <c r="A31" s="619"/>
      <c r="B31" s="353"/>
      <c r="C31" s="353"/>
    </row>
    <row r="32" spans="1:3">
      <c r="A32" s="619"/>
      <c r="B32" s="353"/>
      <c r="C32" s="353"/>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56B5-C95C-48A9-99F1-41F923AA6C2A}">
  <sheetPr codeName="Sheet347">
    <tabColor rgb="FFFFC000"/>
  </sheetPr>
  <dimension ref="A1:C5"/>
  <sheetViews>
    <sheetView workbookViewId="0">
      <selection activeCell="B5" sqref="B5:C5"/>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2" t="s">
        <v>577</v>
      </c>
      <c r="C1" s="232" t="s">
        <v>634</v>
      </c>
    </row>
    <row r="2" spans="1:3">
      <c r="A2" s="23" t="s">
        <v>711</v>
      </c>
      <c r="B2" s="233"/>
      <c r="C2" s="233"/>
    </row>
    <row r="3" spans="1:3">
      <c r="A3" s="23" t="s">
        <v>712</v>
      </c>
      <c r="B3" s="233"/>
      <c r="C3" s="233"/>
    </row>
    <row r="4" spans="1:3">
      <c r="A4" s="23" t="s">
        <v>713</v>
      </c>
      <c r="B4" s="233"/>
      <c r="C4" s="233"/>
    </row>
    <row r="5" spans="1:3">
      <c r="A5" s="619" t="s">
        <v>262</v>
      </c>
      <c r="B5" s="1">
        <f>ROUND(SUM(B2:B4),2)</f>
        <v>0</v>
      </c>
      <c r="C5" s="1">
        <f>ROUND(SUM(C2:C4),2)</f>
        <v>0</v>
      </c>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EB28-0AB6-47A3-8BBD-F19AB46235FE}">
  <sheetPr codeName="Sheet348">
    <tabColor rgb="FFFFC000"/>
  </sheetPr>
  <dimension ref="A1:C6"/>
  <sheetViews>
    <sheetView workbookViewId="0">
      <selection activeCell="E23" sqref="E23"/>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2" t="s">
        <v>577</v>
      </c>
      <c r="C1" s="232" t="s">
        <v>634</v>
      </c>
    </row>
    <row r="2" spans="1:3">
      <c r="A2" s="23" t="s">
        <v>714</v>
      </c>
      <c r="B2" s="233">
        <f>现金流量表!B60</f>
        <v>0</v>
      </c>
      <c r="C2" s="233">
        <f>ROUND(现金流量表!C60,2)</f>
        <v>0</v>
      </c>
    </row>
    <row r="3" spans="1:3">
      <c r="A3" s="23" t="s">
        <v>715</v>
      </c>
      <c r="B3" s="233">
        <f>ROUND(现金流量表!B59,2)</f>
        <v>0</v>
      </c>
      <c r="C3" s="310"/>
    </row>
    <row r="4" spans="1:3">
      <c r="A4" s="23" t="s">
        <v>716</v>
      </c>
      <c r="B4" s="233"/>
      <c r="C4" s="233"/>
    </row>
    <row r="5" spans="1:3">
      <c r="A5" s="23" t="s">
        <v>717</v>
      </c>
      <c r="B5" s="233"/>
      <c r="C5" s="233"/>
    </row>
    <row r="6" spans="1:3">
      <c r="A6" s="23" t="s">
        <v>718</v>
      </c>
      <c r="B6" s="233">
        <f>B2-B3</f>
        <v>0</v>
      </c>
      <c r="C6" s="233">
        <f>ROUND(C2-C3,2)</f>
        <v>0</v>
      </c>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sheetPr codeName="Sheet349"/>
  <dimension ref="A1:H100"/>
  <sheetViews>
    <sheetView workbookViewId="0">
      <pane xSplit="1" ySplit="1" topLeftCell="B44" activePane="bottomRight" state="frozen"/>
      <selection activeCell="D22" sqref="D22"/>
      <selection pane="topRight" activeCell="D22" sqref="D22"/>
      <selection pane="bottomLeft" activeCell="D22" sqref="D22"/>
      <selection pane="bottomRight" activeCell="E63" sqref="E63"/>
    </sheetView>
  </sheetViews>
  <sheetFormatPr defaultRowHeight="13.8"/>
  <cols>
    <col min="1" max="1" width="44.21875" style="256" customWidth="1"/>
    <col min="2" max="2" width="45.5546875" style="256" customWidth="1"/>
    <col min="3" max="6" width="8.88671875" style="256"/>
    <col min="7" max="7" width="13.33203125" style="256" bestFit="1" customWidth="1"/>
    <col min="8" max="16384" width="8.88671875" style="256"/>
  </cols>
  <sheetData>
    <row r="1" spans="1:4">
      <c r="A1" s="356" t="s">
        <v>2546</v>
      </c>
      <c r="B1" s="354" t="s">
        <v>2547</v>
      </c>
      <c r="C1" s="354" t="s">
        <v>2548</v>
      </c>
      <c r="D1" s="346"/>
    </row>
    <row r="2" spans="1:4">
      <c r="A2" s="356" t="s">
        <v>2553</v>
      </c>
      <c r="B2" s="354"/>
      <c r="C2" s="355">
        <f>SUM(C3:C33)</f>
        <v>0</v>
      </c>
      <c r="D2" s="347"/>
    </row>
    <row r="3" spans="1:4">
      <c r="A3" s="351" t="s">
        <v>2554</v>
      </c>
      <c r="B3" s="346" t="s">
        <v>2555</v>
      </c>
      <c r="C3" s="348">
        <f>上期TB!H15-本期TB!H15</f>
        <v>0</v>
      </c>
      <c r="D3" s="349"/>
    </row>
    <row r="4" spans="1:4">
      <c r="A4" s="351"/>
      <c r="B4" s="346" t="s">
        <v>2556</v>
      </c>
      <c r="C4" s="348"/>
      <c r="D4" s="349"/>
    </row>
    <row r="5" spans="1:4">
      <c r="A5" s="351"/>
      <c r="B5" s="346" t="s">
        <v>2557</v>
      </c>
      <c r="C5" s="348"/>
      <c r="D5" s="349"/>
    </row>
    <row r="6" spans="1:4">
      <c r="A6" s="351"/>
      <c r="B6" s="346" t="s">
        <v>2558</v>
      </c>
      <c r="C6" s="348"/>
      <c r="D6" s="349"/>
    </row>
    <row r="7" spans="1:4">
      <c r="A7" s="351" t="s">
        <v>2559</v>
      </c>
      <c r="B7" s="346" t="s">
        <v>2560</v>
      </c>
      <c r="C7" s="348">
        <f>上期TB!H12-本期TB!H12</f>
        <v>0</v>
      </c>
      <c r="D7" s="349"/>
    </row>
    <row r="8" spans="1:4">
      <c r="A8" s="351"/>
      <c r="B8" s="346" t="s">
        <v>2561</v>
      </c>
      <c r="C8" s="348"/>
      <c r="D8" s="349"/>
    </row>
    <row r="9" spans="1:4">
      <c r="A9" s="351"/>
      <c r="B9" s="346" t="s">
        <v>2562</v>
      </c>
      <c r="C9" s="348"/>
      <c r="D9" s="349"/>
    </row>
    <row r="10" spans="1:4">
      <c r="A10" s="351"/>
      <c r="B10" s="346" t="s">
        <v>2563</v>
      </c>
      <c r="C10" s="348"/>
      <c r="D10" s="349"/>
    </row>
    <row r="11" spans="1:4">
      <c r="A11" s="351" t="s">
        <v>2564</v>
      </c>
      <c r="B11" s="346" t="s">
        <v>2565</v>
      </c>
      <c r="C11" s="348">
        <f>上期TB!H19-本期TB!H19</f>
        <v>0</v>
      </c>
      <c r="D11" s="349"/>
    </row>
    <row r="12" spans="1:4">
      <c r="A12" s="351" t="s">
        <v>2566</v>
      </c>
      <c r="B12" s="346" t="s">
        <v>2567</v>
      </c>
      <c r="C12" s="348"/>
      <c r="D12" s="349"/>
    </row>
    <row r="13" spans="1:4">
      <c r="A13" s="351" t="s">
        <v>2568</v>
      </c>
      <c r="B13" s="346" t="s">
        <v>2569</v>
      </c>
      <c r="C13" s="348">
        <f>上期TB!H29-本期TB!H29</f>
        <v>0</v>
      </c>
      <c r="D13" s="349"/>
    </row>
    <row r="14" spans="1:4">
      <c r="A14" s="351"/>
      <c r="B14" s="346" t="s">
        <v>2570</v>
      </c>
      <c r="C14" s="348"/>
      <c r="D14" s="349"/>
    </row>
    <row r="15" spans="1:4">
      <c r="A15" s="351"/>
      <c r="B15" s="346" t="s">
        <v>2571</v>
      </c>
      <c r="C15" s="348"/>
      <c r="D15" s="349"/>
    </row>
    <row r="16" spans="1:4">
      <c r="A16" s="351"/>
      <c r="B16" s="346" t="s">
        <v>2572</v>
      </c>
      <c r="C16" s="348"/>
      <c r="D16" s="349"/>
    </row>
    <row r="17" spans="1:4">
      <c r="A17" s="351"/>
      <c r="B17" s="346" t="s">
        <v>2573</v>
      </c>
      <c r="C17" s="348"/>
      <c r="D17" s="349"/>
    </row>
    <row r="18" spans="1:4">
      <c r="A18" s="351"/>
      <c r="B18" s="346" t="s">
        <v>2574</v>
      </c>
      <c r="C18" s="348"/>
      <c r="D18" s="349"/>
    </row>
    <row r="19" spans="1:4">
      <c r="A19" s="351"/>
      <c r="B19" s="346" t="s">
        <v>2575</v>
      </c>
      <c r="C19" s="348"/>
      <c r="D19" s="349"/>
    </row>
    <row r="20" spans="1:4">
      <c r="A20" s="351"/>
      <c r="B20" s="346" t="s">
        <v>2576</v>
      </c>
      <c r="C20" s="348"/>
      <c r="D20" s="349"/>
    </row>
    <row r="21" spans="1:4">
      <c r="A21" s="351" t="s">
        <v>2577</v>
      </c>
      <c r="B21" s="346" t="s">
        <v>2578</v>
      </c>
      <c r="C21" s="348">
        <f>上期TB!H68-本期TB!H68</f>
        <v>0</v>
      </c>
      <c r="D21" s="349"/>
    </row>
    <row r="22" spans="1:4">
      <c r="A22" s="351"/>
      <c r="B22" s="346" t="s">
        <v>2579</v>
      </c>
      <c r="C22" s="348"/>
      <c r="D22" s="349"/>
    </row>
    <row r="23" spans="1:4">
      <c r="A23" s="351"/>
      <c r="B23" s="346" t="s">
        <v>2580</v>
      </c>
      <c r="C23" s="348"/>
      <c r="D23" s="349"/>
    </row>
    <row r="24" spans="1:4">
      <c r="A24" s="351"/>
      <c r="B24" s="346" t="s">
        <v>2581</v>
      </c>
      <c r="C24" s="348"/>
      <c r="D24" s="349"/>
    </row>
    <row r="25" spans="1:4">
      <c r="A25" s="351"/>
      <c r="B25" s="346" t="s">
        <v>2582</v>
      </c>
      <c r="C25" s="348"/>
      <c r="D25" s="349"/>
    </row>
    <row r="26" spans="1:4">
      <c r="A26" s="351" t="s">
        <v>2583</v>
      </c>
      <c r="B26" s="346" t="s">
        <v>2584</v>
      </c>
      <c r="C26" s="348"/>
      <c r="D26" s="349"/>
    </row>
    <row r="27" spans="1:4">
      <c r="A27" s="351" t="s">
        <v>2585</v>
      </c>
      <c r="B27" s="346" t="s">
        <v>2586</v>
      </c>
      <c r="C27" s="348"/>
      <c r="D27" s="349"/>
    </row>
    <row r="28" spans="1:4">
      <c r="A28" s="351" t="s">
        <v>2587</v>
      </c>
      <c r="B28" s="346" t="s">
        <v>2588</v>
      </c>
      <c r="C28" s="348"/>
      <c r="D28" s="349"/>
    </row>
    <row r="29" spans="1:4" ht="21.6">
      <c r="A29" s="351" t="s">
        <v>2589</v>
      </c>
      <c r="B29" s="346" t="s">
        <v>2590</v>
      </c>
      <c r="C29" s="348"/>
      <c r="D29" s="349"/>
    </row>
    <row r="30" spans="1:4" ht="21.6">
      <c r="A30" s="351" t="s">
        <v>2591</v>
      </c>
      <c r="B30" s="346" t="s">
        <v>2592</v>
      </c>
      <c r="C30" s="348"/>
      <c r="D30" s="349"/>
    </row>
    <row r="31" spans="1:4">
      <c r="A31" s="351" t="s">
        <v>2593</v>
      </c>
      <c r="B31" s="346" t="s">
        <v>2594</v>
      </c>
      <c r="C31" s="624">
        <f>资产表!C25-资产表!B25</f>
        <v>0</v>
      </c>
      <c r="D31" s="349"/>
    </row>
    <row r="32" spans="1:4">
      <c r="A32" s="351" t="s">
        <v>2595</v>
      </c>
      <c r="B32" s="346" t="s">
        <v>2596</v>
      </c>
      <c r="C32" s="624">
        <f>受限制的货币资金!C9-受限制的货币资金!B9</f>
        <v>0</v>
      </c>
      <c r="D32" s="349"/>
    </row>
    <row r="33" spans="1:4">
      <c r="A33" s="351" t="s">
        <v>2597</v>
      </c>
      <c r="B33" s="346" t="s">
        <v>2598</v>
      </c>
      <c r="C33" s="348"/>
      <c r="D33" s="349"/>
    </row>
    <row r="34" spans="1:4">
      <c r="A34" s="356" t="s">
        <v>2599</v>
      </c>
      <c r="B34" s="354"/>
      <c r="C34" s="355">
        <f>SUM(C35:C76)</f>
        <v>0</v>
      </c>
      <c r="D34" s="347"/>
    </row>
    <row r="35" spans="1:4">
      <c r="A35" s="351" t="s">
        <v>2600</v>
      </c>
      <c r="B35" s="346" t="s">
        <v>2601</v>
      </c>
      <c r="C35" s="348">
        <f>负债表!B10-负债表!C10</f>
        <v>0</v>
      </c>
      <c r="D35" s="349"/>
    </row>
    <row r="36" spans="1:4">
      <c r="A36" s="351"/>
      <c r="B36" s="346" t="s">
        <v>2602</v>
      </c>
      <c r="C36" s="348"/>
      <c r="D36" s="349"/>
    </row>
    <row r="37" spans="1:4">
      <c r="A37" s="351"/>
      <c r="B37" s="346" t="s">
        <v>2603</v>
      </c>
      <c r="C37" s="348"/>
      <c r="D37" s="349"/>
    </row>
    <row r="38" spans="1:4">
      <c r="A38" s="351" t="s">
        <v>2604</v>
      </c>
      <c r="B38" s="346" t="s">
        <v>752</v>
      </c>
      <c r="C38" s="348">
        <f>负债表!B9-负债表!C9</f>
        <v>0</v>
      </c>
      <c r="D38" s="349"/>
    </row>
    <row r="39" spans="1:4">
      <c r="A39" s="351"/>
      <c r="B39" s="346" t="s">
        <v>2602</v>
      </c>
      <c r="C39" s="348"/>
      <c r="D39" s="349"/>
    </row>
    <row r="40" spans="1:4">
      <c r="A40" s="351"/>
      <c r="B40" s="346" t="s">
        <v>2605</v>
      </c>
      <c r="C40" s="348"/>
      <c r="D40" s="349"/>
    </row>
    <row r="41" spans="1:4">
      <c r="A41" s="351"/>
      <c r="B41" s="346" t="s">
        <v>2606</v>
      </c>
      <c r="C41" s="348"/>
      <c r="D41" s="349"/>
    </row>
    <row r="42" spans="1:4">
      <c r="A42" s="351"/>
      <c r="B42" s="346" t="s">
        <v>2607</v>
      </c>
      <c r="C42" s="348"/>
      <c r="D42" s="349"/>
    </row>
    <row r="43" spans="1:4">
      <c r="A43" s="351" t="s">
        <v>2608</v>
      </c>
      <c r="B43" s="346" t="s">
        <v>2609</v>
      </c>
      <c r="C43" s="348">
        <f>负债表!B11-负债表!C11</f>
        <v>0</v>
      </c>
      <c r="D43" s="349"/>
    </row>
    <row r="44" spans="1:4">
      <c r="A44" s="351" t="s">
        <v>2610</v>
      </c>
      <c r="B44" s="346" t="s">
        <v>2611</v>
      </c>
      <c r="C44" s="348">
        <f>负债表!B21-负债表!C21</f>
        <v>0</v>
      </c>
      <c r="D44" s="349"/>
    </row>
    <row r="45" spans="1:4">
      <c r="A45" s="351"/>
      <c r="B45" s="346" t="s">
        <v>2612</v>
      </c>
      <c r="C45" s="348"/>
      <c r="D45" s="349"/>
    </row>
    <row r="46" spans="1:4">
      <c r="A46" s="351"/>
      <c r="B46" s="346" t="s">
        <v>2613</v>
      </c>
      <c r="C46" s="348"/>
      <c r="D46" s="349"/>
    </row>
    <row r="47" spans="1:4">
      <c r="A47" s="351"/>
      <c r="B47" s="346" t="s">
        <v>2614</v>
      </c>
      <c r="C47" s="348"/>
      <c r="D47" s="349"/>
    </row>
    <row r="48" spans="1:4">
      <c r="A48" s="351"/>
      <c r="B48" s="346" t="s">
        <v>2615</v>
      </c>
      <c r="C48" s="348"/>
      <c r="D48" s="349"/>
    </row>
    <row r="49" spans="1:4">
      <c r="A49" s="351" t="s">
        <v>2616</v>
      </c>
      <c r="B49" s="346" t="s">
        <v>2617</v>
      </c>
      <c r="C49" s="348">
        <f>负债表!B17-负债表!C17</f>
        <v>0</v>
      </c>
      <c r="D49" s="349"/>
    </row>
    <row r="50" spans="1:4">
      <c r="A50" s="351"/>
      <c r="B50" s="346" t="s">
        <v>2618</v>
      </c>
      <c r="C50" s="348"/>
      <c r="D50" s="349"/>
    </row>
    <row r="51" spans="1:4">
      <c r="A51" s="351"/>
      <c r="B51" s="346" t="s">
        <v>2619</v>
      </c>
      <c r="C51" s="348"/>
      <c r="D51" s="349"/>
    </row>
    <row r="52" spans="1:4">
      <c r="A52" s="351"/>
      <c r="B52" s="346" t="s">
        <v>2620</v>
      </c>
      <c r="C52" s="348"/>
      <c r="D52" s="349"/>
    </row>
    <row r="53" spans="1:4">
      <c r="A53" s="351" t="s">
        <v>2621</v>
      </c>
      <c r="B53" s="346" t="s">
        <v>2622</v>
      </c>
      <c r="C53" s="350">
        <f>负债表!B23-负债表!C23</f>
        <v>0</v>
      </c>
      <c r="D53" s="349"/>
    </row>
    <row r="54" spans="1:4">
      <c r="A54" s="351"/>
      <c r="B54" s="346" t="s">
        <v>2623</v>
      </c>
      <c r="C54" s="350"/>
      <c r="D54" s="349"/>
    </row>
    <row r="55" spans="1:4">
      <c r="A55" s="351"/>
      <c r="B55" s="346" t="s">
        <v>2624</v>
      </c>
      <c r="C55" s="350"/>
      <c r="D55" s="349"/>
    </row>
    <row r="56" spans="1:4">
      <c r="A56" s="351"/>
      <c r="B56" s="346" t="s">
        <v>2625</v>
      </c>
      <c r="C56" s="350"/>
      <c r="D56" s="349"/>
    </row>
    <row r="57" spans="1:4">
      <c r="A57" s="351"/>
      <c r="B57" s="346" t="s">
        <v>2626</v>
      </c>
      <c r="C57" s="350"/>
      <c r="D57" s="349"/>
    </row>
    <row r="58" spans="1:4">
      <c r="A58" s="351"/>
      <c r="B58" s="346" t="s">
        <v>2627</v>
      </c>
      <c r="C58" s="350"/>
      <c r="D58" s="349"/>
    </row>
    <row r="59" spans="1:4">
      <c r="A59" s="351"/>
      <c r="B59" s="346" t="s">
        <v>2628</v>
      </c>
      <c r="C59" s="350"/>
      <c r="D59" s="349"/>
    </row>
    <row r="60" spans="1:4">
      <c r="A60" s="351"/>
      <c r="B60" s="346" t="s">
        <v>2629</v>
      </c>
      <c r="C60" s="350"/>
      <c r="D60" s="349"/>
    </row>
    <row r="61" spans="1:4">
      <c r="A61" s="351" t="s">
        <v>2630</v>
      </c>
      <c r="B61" s="346" t="s">
        <v>570</v>
      </c>
      <c r="C61" s="350"/>
      <c r="D61" s="349"/>
    </row>
    <row r="62" spans="1:4">
      <c r="A62" s="351" t="s">
        <v>2631</v>
      </c>
      <c r="B62" s="346" t="s">
        <v>2632</v>
      </c>
      <c r="C62" s="350">
        <f>负债表!B29-负债表!C29</f>
        <v>0</v>
      </c>
      <c r="D62" s="349"/>
    </row>
    <row r="63" spans="1:4">
      <c r="A63" s="351"/>
      <c r="B63" s="346" t="s">
        <v>2633</v>
      </c>
      <c r="C63" s="350"/>
      <c r="D63" s="349"/>
    </row>
    <row r="64" spans="1:4">
      <c r="A64" s="351"/>
      <c r="B64" s="346" t="s">
        <v>2634</v>
      </c>
      <c r="C64" s="350"/>
      <c r="D64" s="349"/>
    </row>
    <row r="65" spans="1:4">
      <c r="A65" s="351" t="s">
        <v>2635</v>
      </c>
      <c r="B65" s="346" t="s">
        <v>2636</v>
      </c>
      <c r="C65" s="350">
        <f>负债表!B41-负债表!C41</f>
        <v>0</v>
      </c>
      <c r="D65" s="349"/>
    </row>
    <row r="66" spans="1:4">
      <c r="A66" s="351"/>
      <c r="B66" s="346" t="s">
        <v>2637</v>
      </c>
      <c r="C66" s="350"/>
      <c r="D66" s="349"/>
    </row>
    <row r="67" spans="1:4">
      <c r="A67" s="351"/>
      <c r="B67" s="346" t="s">
        <v>2638</v>
      </c>
      <c r="C67" s="350"/>
      <c r="D67" s="349"/>
    </row>
    <row r="68" spans="1:4">
      <c r="A68" s="351"/>
      <c r="B68" s="346" t="s">
        <v>2639</v>
      </c>
      <c r="C68" s="350"/>
      <c r="D68" s="349"/>
    </row>
    <row r="69" spans="1:4">
      <c r="A69" s="351" t="s">
        <v>2640</v>
      </c>
      <c r="B69" s="346" t="s">
        <v>2641</v>
      </c>
      <c r="C69" s="350"/>
      <c r="D69" s="349"/>
    </row>
    <row r="70" spans="1:4">
      <c r="A70" s="351" t="s">
        <v>1074</v>
      </c>
      <c r="B70" s="346" t="s">
        <v>2642</v>
      </c>
      <c r="C70" s="350">
        <f>负债表!B40-负债表!C40</f>
        <v>0</v>
      </c>
      <c r="D70" s="349"/>
    </row>
    <row r="71" spans="1:4">
      <c r="A71" s="351"/>
      <c r="B71" s="346" t="s">
        <v>2643</v>
      </c>
      <c r="C71" s="350"/>
      <c r="D71" s="349"/>
    </row>
    <row r="72" spans="1:4">
      <c r="A72" s="351"/>
      <c r="B72" s="346" t="s">
        <v>2644</v>
      </c>
      <c r="C72" s="350"/>
      <c r="D72" s="349"/>
    </row>
    <row r="73" spans="1:4">
      <c r="A73" s="351" t="s">
        <v>2645</v>
      </c>
      <c r="B73" s="346" t="s">
        <v>2646</v>
      </c>
      <c r="C73" s="350">
        <f>负债表!B39-负债表!C39</f>
        <v>0</v>
      </c>
      <c r="D73" s="349"/>
    </row>
    <row r="74" spans="1:4">
      <c r="A74" s="351" t="s">
        <v>2647</v>
      </c>
      <c r="B74" s="346" t="s">
        <v>2648</v>
      </c>
      <c r="C74" s="350"/>
      <c r="D74" s="349"/>
    </row>
    <row r="75" spans="1:4">
      <c r="A75" s="351" t="s">
        <v>2649</v>
      </c>
      <c r="B75" s="346" t="s">
        <v>2650</v>
      </c>
      <c r="C75" s="350"/>
      <c r="D75" s="349"/>
    </row>
    <row r="76" spans="1:4">
      <c r="A76" s="351"/>
      <c r="B76" s="346"/>
      <c r="C76" s="348"/>
      <c r="D76" s="349"/>
    </row>
    <row r="77" spans="1:4" ht="21.6">
      <c r="A77" s="356" t="s">
        <v>2651</v>
      </c>
      <c r="B77" s="354"/>
      <c r="C77" s="355">
        <f>SUM(C78:C99)</f>
        <v>0</v>
      </c>
      <c r="D77" s="347"/>
    </row>
    <row r="78" spans="1:4">
      <c r="A78" s="351" t="s">
        <v>2652</v>
      </c>
      <c r="B78" s="346" t="s">
        <v>2653</v>
      </c>
      <c r="C78" s="350"/>
      <c r="D78" s="349"/>
    </row>
    <row r="79" spans="1:4">
      <c r="A79" s="351" t="s">
        <v>2654</v>
      </c>
      <c r="B79" s="346" t="s">
        <v>2655</v>
      </c>
      <c r="C79" s="350"/>
      <c r="D79" s="349"/>
    </row>
    <row r="80" spans="1:4">
      <c r="A80" s="351" t="s">
        <v>2656</v>
      </c>
      <c r="B80" s="346" t="s">
        <v>2657</v>
      </c>
      <c r="C80" s="350"/>
      <c r="D80" s="349"/>
    </row>
    <row r="81" spans="1:8">
      <c r="A81" s="351" t="s">
        <v>2658</v>
      </c>
      <c r="B81" s="346" t="s">
        <v>2659</v>
      </c>
      <c r="C81" s="350"/>
      <c r="D81" s="349"/>
    </row>
    <row r="82" spans="1:8">
      <c r="A82" s="351" t="s">
        <v>2660</v>
      </c>
      <c r="B82" s="346" t="s">
        <v>994</v>
      </c>
      <c r="C82" s="350"/>
      <c r="D82" s="349"/>
    </row>
    <row r="83" spans="1:8">
      <c r="A83" s="351" t="s">
        <v>2661</v>
      </c>
      <c r="B83" s="346" t="s">
        <v>2662</v>
      </c>
      <c r="C83" s="350"/>
      <c r="D83" s="349"/>
    </row>
    <row r="84" spans="1:8">
      <c r="A84" s="351"/>
      <c r="B84" s="346" t="s">
        <v>2663</v>
      </c>
      <c r="C84" s="350"/>
      <c r="D84" s="349"/>
    </row>
    <row r="85" spans="1:8">
      <c r="A85" s="351"/>
      <c r="B85" s="346" t="s">
        <v>2664</v>
      </c>
      <c r="C85" s="350"/>
      <c r="D85" s="349"/>
    </row>
    <row r="86" spans="1:8">
      <c r="A86" s="351"/>
      <c r="B86" s="346" t="s">
        <v>2665</v>
      </c>
      <c r="C86" s="350"/>
      <c r="D86" s="349"/>
    </row>
    <row r="87" spans="1:8">
      <c r="A87" s="351" t="s">
        <v>2666</v>
      </c>
      <c r="B87" s="346" t="s">
        <v>2667</v>
      </c>
      <c r="C87" s="350"/>
      <c r="D87" s="349"/>
    </row>
    <row r="88" spans="1:8">
      <c r="A88" s="351" t="s">
        <v>2668</v>
      </c>
      <c r="B88" s="346" t="s">
        <v>2669</v>
      </c>
      <c r="C88" s="350"/>
      <c r="D88" s="349"/>
      <c r="G88" s="259"/>
      <c r="H88" s="388"/>
    </row>
    <row r="89" spans="1:8">
      <c r="A89" s="351" t="s">
        <v>2670</v>
      </c>
      <c r="B89" s="346" t="s">
        <v>2671</v>
      </c>
      <c r="C89" s="350"/>
      <c r="D89" s="349"/>
      <c r="G89" s="259"/>
    </row>
    <row r="90" spans="1:8">
      <c r="A90" s="351" t="s">
        <v>2672</v>
      </c>
      <c r="B90" s="346" t="s">
        <v>2673</v>
      </c>
      <c r="C90" s="350">
        <f>处置资产校验!B40</f>
        <v>0</v>
      </c>
      <c r="D90" s="349"/>
      <c r="G90" s="259"/>
    </row>
    <row r="91" spans="1:8">
      <c r="A91" s="351"/>
      <c r="B91" s="346" t="s">
        <v>2674</v>
      </c>
      <c r="C91" s="350"/>
      <c r="D91" s="349"/>
      <c r="G91" s="259"/>
    </row>
    <row r="92" spans="1:8">
      <c r="A92" s="351" t="s">
        <v>2675</v>
      </c>
      <c r="B92" s="346" t="s">
        <v>2676</v>
      </c>
      <c r="C92" s="350">
        <f>处置资产校验!B41</f>
        <v>0</v>
      </c>
      <c r="D92" s="349"/>
      <c r="G92" s="259"/>
    </row>
    <row r="93" spans="1:8">
      <c r="A93" s="351"/>
      <c r="B93" s="346" t="s">
        <v>2677</v>
      </c>
      <c r="C93" s="350"/>
      <c r="D93" s="349"/>
    </row>
    <row r="94" spans="1:8">
      <c r="A94" s="351" t="s">
        <v>2678</v>
      </c>
      <c r="B94" s="346"/>
      <c r="C94" s="348"/>
      <c r="D94" s="349"/>
    </row>
    <row r="95" spans="1:8" ht="21.6">
      <c r="A95" s="351" t="s">
        <v>2679</v>
      </c>
      <c r="B95" s="346" t="s">
        <v>2680</v>
      </c>
      <c r="C95" s="350"/>
      <c r="D95" s="349"/>
    </row>
    <row r="96" spans="1:8">
      <c r="A96" s="351"/>
      <c r="B96" s="346" t="s">
        <v>2681</v>
      </c>
      <c r="C96" s="350"/>
      <c r="D96" s="349"/>
    </row>
    <row r="97" spans="1:4">
      <c r="A97" s="351"/>
      <c r="B97" s="346" t="s">
        <v>2682</v>
      </c>
      <c r="C97" s="350"/>
      <c r="D97" s="349"/>
    </row>
    <row r="98" spans="1:4">
      <c r="A98" s="351" t="s">
        <v>2683</v>
      </c>
      <c r="B98" s="346" t="s">
        <v>2684</v>
      </c>
      <c r="C98" s="350"/>
      <c r="D98" s="349"/>
    </row>
    <row r="99" spans="1:4">
      <c r="A99" s="351"/>
      <c r="B99" s="346" t="s">
        <v>2685</v>
      </c>
      <c r="C99" s="350"/>
      <c r="D99" s="349"/>
    </row>
    <row r="100" spans="1:4">
      <c r="A100" s="351"/>
      <c r="B100" s="346"/>
      <c r="C100" s="348"/>
      <c r="D100" s="349"/>
    </row>
  </sheetData>
  <phoneticPr fontId="1" type="noConversion"/>
  <pageMargins left="0.7" right="0.7" top="0.75" bottom="0.75" header="0.3" footer="0.3"/>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codeName="Sheet350">
    <tabColor rgb="FFFFC000"/>
  </sheetPr>
  <dimension ref="A1:B11"/>
  <sheetViews>
    <sheetView workbookViewId="0">
      <selection activeCell="B11" sqref="B11"/>
    </sheetView>
  </sheetViews>
  <sheetFormatPr defaultRowHeight="13.8"/>
  <cols>
    <col min="1" max="1" width="52.5546875" style="18" customWidth="1"/>
    <col min="2" max="16384" width="8.88671875" style="18"/>
  </cols>
  <sheetData>
    <row r="1" spans="1:2">
      <c r="A1" s="27" t="s">
        <v>28</v>
      </c>
      <c r="B1" s="24" t="s">
        <v>3367</v>
      </c>
    </row>
    <row r="2" spans="1:2">
      <c r="A2" s="26" t="s">
        <v>719</v>
      </c>
      <c r="B2" s="233"/>
    </row>
    <row r="3" spans="1:2">
      <c r="A3" s="28" t="s">
        <v>720</v>
      </c>
      <c r="B3" s="233"/>
    </row>
    <row r="4" spans="1:2">
      <c r="A4" s="26" t="s">
        <v>722</v>
      </c>
      <c r="B4" s="233"/>
    </row>
    <row r="5" spans="1:2">
      <c r="A5" s="26" t="s">
        <v>721</v>
      </c>
      <c r="B5" s="233"/>
    </row>
    <row r="6" spans="1:2">
      <c r="A6" s="29" t="s">
        <v>720</v>
      </c>
      <c r="B6" s="233"/>
    </row>
    <row r="7" spans="1:2">
      <c r="A7" s="30" t="s">
        <v>722</v>
      </c>
      <c r="B7" s="233"/>
    </row>
    <row r="8" spans="1:2">
      <c r="A8" s="26" t="s">
        <v>723</v>
      </c>
      <c r="B8" s="233"/>
    </row>
    <row r="9" spans="1:2">
      <c r="A9" s="28" t="s">
        <v>720</v>
      </c>
      <c r="B9" s="233"/>
    </row>
    <row r="10" spans="1:2">
      <c r="A10" s="30" t="s">
        <v>722</v>
      </c>
      <c r="B10" s="233"/>
    </row>
    <row r="11" spans="1:2">
      <c r="A11" s="26" t="s">
        <v>724</v>
      </c>
      <c r="B11" s="233">
        <f>ROUND(B2-B5+B8,2)</f>
        <v>0</v>
      </c>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codeName="Sheet351">
    <tabColor rgb="FFFFC000"/>
  </sheetPr>
  <dimension ref="A1:B11"/>
  <sheetViews>
    <sheetView workbookViewId="0">
      <selection activeCell="B20" sqref="B20"/>
    </sheetView>
  </sheetViews>
  <sheetFormatPr defaultRowHeight="13.8"/>
  <cols>
    <col min="1" max="1" width="72.109375" style="18" customWidth="1"/>
    <col min="2" max="2" width="8.88671875" style="1"/>
    <col min="3" max="16384" width="8.88671875" style="18"/>
  </cols>
  <sheetData>
    <row r="1" spans="1:2">
      <c r="A1" s="27" t="s">
        <v>28</v>
      </c>
      <c r="B1" s="232" t="s">
        <v>577</v>
      </c>
    </row>
    <row r="2" spans="1:2">
      <c r="A2" s="26" t="s">
        <v>725</v>
      </c>
      <c r="B2" s="310"/>
    </row>
    <row r="3" spans="1:2">
      <c r="A3" s="28" t="s">
        <v>720</v>
      </c>
      <c r="B3" s="310"/>
    </row>
    <row r="4" spans="1:2">
      <c r="A4" s="26" t="s">
        <v>722</v>
      </c>
      <c r="B4" s="310"/>
    </row>
    <row r="5" spans="1:2">
      <c r="A5" s="26" t="s">
        <v>726</v>
      </c>
      <c r="B5" s="310"/>
    </row>
    <row r="6" spans="1:2">
      <c r="A6" s="29" t="s">
        <v>720</v>
      </c>
      <c r="B6" s="310"/>
    </row>
    <row r="7" spans="1:2">
      <c r="A7" s="30" t="s">
        <v>722</v>
      </c>
      <c r="B7" s="310"/>
    </row>
    <row r="8" spans="1:2">
      <c r="A8" s="23" t="s">
        <v>727</v>
      </c>
      <c r="B8" s="310"/>
    </row>
    <row r="9" spans="1:2">
      <c r="A9" s="28" t="s">
        <v>720</v>
      </c>
      <c r="B9" s="310"/>
    </row>
    <row r="10" spans="1:2">
      <c r="A10" s="30" t="s">
        <v>722</v>
      </c>
      <c r="B10" s="310"/>
    </row>
    <row r="11" spans="1:2">
      <c r="A11" s="26" t="s">
        <v>728</v>
      </c>
      <c r="B11" s="233">
        <f>ROUND(B2-B5+B8,2)</f>
        <v>0</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sheetPr codeName="Sheet33">
    <tabColor rgb="FFFFC000"/>
  </sheetPr>
  <dimension ref="A1:F15"/>
  <sheetViews>
    <sheetView workbookViewId="0">
      <selection activeCell="D21" sqref="D21"/>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6" t="s">
        <v>21</v>
      </c>
      <c r="B1" s="66" t="s">
        <v>22</v>
      </c>
      <c r="C1" s="66" t="s">
        <v>23</v>
      </c>
      <c r="D1" s="66" t="s">
        <v>24</v>
      </c>
      <c r="E1" s="66" t="s">
        <v>25</v>
      </c>
      <c r="F1" s="66" t="s">
        <v>26</v>
      </c>
    </row>
    <row r="2" spans="1:6" ht="14.4">
      <c r="A2" s="543" t="s">
        <v>0</v>
      </c>
      <c r="B2" s="543" t="s">
        <v>1</v>
      </c>
      <c r="C2" s="544"/>
      <c r="D2" s="543" t="s">
        <v>0</v>
      </c>
      <c r="E2" s="543" t="s">
        <v>1</v>
      </c>
      <c r="F2" s="544"/>
    </row>
    <row r="3" spans="1:6" ht="28.8">
      <c r="A3" s="543" t="s">
        <v>3</v>
      </c>
      <c r="B3" s="543" t="s">
        <v>4</v>
      </c>
      <c r="C3" s="544"/>
      <c r="D3" s="543" t="s">
        <v>5</v>
      </c>
      <c r="E3" s="543" t="s">
        <v>4</v>
      </c>
      <c r="F3" s="544"/>
    </row>
    <row r="4" spans="1:6" ht="14.4">
      <c r="A4" s="370" t="s">
        <v>6</v>
      </c>
      <c r="B4" s="370" t="s">
        <v>1</v>
      </c>
      <c r="C4" s="544"/>
      <c r="D4" s="543" t="s">
        <v>6</v>
      </c>
      <c r="E4" s="543" t="s">
        <v>1</v>
      </c>
      <c r="F4" s="544"/>
    </row>
    <row r="5" spans="1:6" ht="28.8">
      <c r="A5" s="370" t="s">
        <v>6</v>
      </c>
      <c r="B5" s="370" t="s">
        <v>1</v>
      </c>
      <c r="C5" s="544"/>
      <c r="D5" s="543" t="s">
        <v>7</v>
      </c>
      <c r="E5" s="543" t="s">
        <v>8</v>
      </c>
      <c r="F5" s="544"/>
    </row>
    <row r="6" spans="1:6" ht="14.4">
      <c r="A6" s="370" t="s">
        <v>9</v>
      </c>
      <c r="B6" s="370" t="s">
        <v>1</v>
      </c>
      <c r="C6" s="544"/>
      <c r="D6" s="543" t="s">
        <v>9</v>
      </c>
      <c r="E6" s="543" t="s">
        <v>1</v>
      </c>
      <c r="F6" s="544"/>
    </row>
    <row r="7" spans="1:6" ht="28.8">
      <c r="A7" s="370" t="s">
        <v>9</v>
      </c>
      <c r="B7" s="370" t="s">
        <v>1</v>
      </c>
      <c r="C7" s="544"/>
      <c r="D7" s="543" t="s">
        <v>7</v>
      </c>
      <c r="E7" s="543" t="s">
        <v>8</v>
      </c>
      <c r="F7" s="544"/>
    </row>
    <row r="8" spans="1:6" ht="14.4">
      <c r="A8" s="543" t="s">
        <v>10</v>
      </c>
      <c r="B8" s="543" t="s">
        <v>1</v>
      </c>
      <c r="C8" s="544"/>
      <c r="D8" s="543" t="s">
        <v>10</v>
      </c>
      <c r="E8" s="543" t="s">
        <v>1</v>
      </c>
      <c r="F8" s="544"/>
    </row>
    <row r="9" spans="1:6" ht="14.4">
      <c r="A9" s="370" t="s">
        <v>11</v>
      </c>
      <c r="B9" s="370" t="s">
        <v>1</v>
      </c>
      <c r="C9" s="544"/>
      <c r="D9" s="543" t="s">
        <v>12</v>
      </c>
      <c r="E9" s="543" t="s">
        <v>1</v>
      </c>
      <c r="F9" s="544"/>
    </row>
    <row r="10" spans="1:6" ht="13.8" customHeight="1">
      <c r="A10" s="370" t="s">
        <v>14</v>
      </c>
      <c r="B10" s="543" t="s">
        <v>15</v>
      </c>
      <c r="C10" s="544"/>
      <c r="D10" s="543" t="s">
        <v>16</v>
      </c>
      <c r="E10" s="543" t="s">
        <v>8</v>
      </c>
      <c r="F10" s="544"/>
    </row>
    <row r="11" spans="1:6" ht="28.8">
      <c r="A11" s="370" t="s">
        <v>14</v>
      </c>
      <c r="B11" s="370" t="s">
        <v>17</v>
      </c>
      <c r="C11" s="544"/>
      <c r="D11" s="370" t="s">
        <v>27</v>
      </c>
      <c r="E11" s="370" t="s">
        <v>4</v>
      </c>
      <c r="F11" s="544"/>
    </row>
    <row r="12" spans="1:6" ht="13.8" customHeight="1">
      <c r="A12" s="370" t="s">
        <v>14</v>
      </c>
      <c r="B12" s="543" t="s">
        <v>18</v>
      </c>
      <c r="C12" s="544"/>
      <c r="D12" s="543" t="s">
        <v>19</v>
      </c>
      <c r="E12" s="543" t="s">
        <v>8</v>
      </c>
      <c r="F12" s="544"/>
    </row>
    <row r="13" spans="1:6" ht="13.8" customHeight="1">
      <c r="A13" s="543" t="s">
        <v>20</v>
      </c>
      <c r="B13" s="543" t="s">
        <v>1</v>
      </c>
      <c r="C13" s="544"/>
      <c r="D13" s="543" t="s">
        <v>20</v>
      </c>
      <c r="E13" s="543" t="s">
        <v>1</v>
      </c>
      <c r="F13" s="544"/>
    </row>
    <row r="14" spans="1:6" ht="14.4">
      <c r="A14" s="370"/>
      <c r="B14" s="543"/>
      <c r="C14" s="544"/>
      <c r="D14" s="543"/>
      <c r="E14" s="543"/>
      <c r="F14" s="544"/>
    </row>
    <row r="15" spans="1:6" ht="14.4">
      <c r="A15" s="543"/>
      <c r="B15" s="543"/>
      <c r="C15" s="544"/>
      <c r="D15" s="543"/>
      <c r="E15" s="543"/>
      <c r="F15" s="544"/>
    </row>
  </sheetData>
  <phoneticPr fontId="1" type="noConversion"/>
  <pageMargins left="0.7" right="0.7" top="0.75" bottom="0.75" header="0.3" footer="0.3"/>
  <pageSetup paperSize="9" orientation="portrait" verticalDpi="0" r:id="rId1"/>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codeName="Sheet352">
    <tabColor rgb="FFFFC000"/>
  </sheetPr>
  <dimension ref="A1:C12"/>
  <sheetViews>
    <sheetView workbookViewId="0">
      <selection activeCell="G23" sqref="G23"/>
    </sheetView>
  </sheetViews>
  <sheetFormatPr defaultRowHeight="13.8"/>
  <cols>
    <col min="1" max="1" width="47.6640625" style="18" customWidth="1"/>
    <col min="2" max="3" width="16.109375" style="1" bestFit="1" customWidth="1"/>
    <col min="4" max="16384" width="8.88671875" style="18"/>
  </cols>
  <sheetData>
    <row r="1" spans="1:3">
      <c r="A1" s="23" t="s">
        <v>28</v>
      </c>
      <c r="B1" s="232" t="s">
        <v>203</v>
      </c>
      <c r="C1" s="232" t="s">
        <v>265</v>
      </c>
    </row>
    <row r="2" spans="1:3">
      <c r="A2" s="23" t="s">
        <v>3371</v>
      </c>
      <c r="B2" s="233">
        <f>现金流量表!B60</f>
        <v>0</v>
      </c>
      <c r="C2" s="233">
        <f>ROUND(现金流量表!C60,2)</f>
        <v>0</v>
      </c>
    </row>
    <row r="3" spans="1:3">
      <c r="A3" s="23" t="s">
        <v>729</v>
      </c>
      <c r="B3" s="233">
        <f>ROUND(本期TB!H4-受限货币资金情况!B2,2)</f>
        <v>0</v>
      </c>
      <c r="C3" s="233">
        <f>ROUND(上期TB!H4-受限货币资金情况!C2,2)</f>
        <v>0</v>
      </c>
    </row>
    <row r="4" spans="1:3">
      <c r="A4" s="23" t="s">
        <v>3275</v>
      </c>
      <c r="B4" s="233">
        <f>ROUND(本期TB!H5-受限货币资金情况!B3,2)</f>
        <v>0</v>
      </c>
      <c r="C4" s="233">
        <f>ROUND(上期TB!H5-受限货币资金情况!C3,2)</f>
        <v>0</v>
      </c>
    </row>
    <row r="5" spans="1:3">
      <c r="A5" s="23" t="s">
        <v>3276</v>
      </c>
      <c r="B5" s="233">
        <f>ROUND(本期TB!H6-受限货币资金情况!B4,2)</f>
        <v>0</v>
      </c>
      <c r="C5" s="233">
        <f>ROUND(上期TB!H6-受限货币资金情况!C4,2)</f>
        <v>0</v>
      </c>
    </row>
    <row r="6" spans="1:3">
      <c r="A6" s="23" t="s">
        <v>3277</v>
      </c>
      <c r="B6" s="310"/>
      <c r="C6" s="310"/>
    </row>
    <row r="7" spans="1:3">
      <c r="A7" s="23" t="s">
        <v>3278</v>
      </c>
      <c r="B7" s="310"/>
      <c r="C7" s="310"/>
    </row>
    <row r="8" spans="1:3">
      <c r="A8" s="23" t="s">
        <v>3279</v>
      </c>
      <c r="B8" s="310"/>
      <c r="C8" s="310"/>
    </row>
    <row r="9" spans="1:3">
      <c r="A9" s="23" t="s">
        <v>3369</v>
      </c>
      <c r="B9" s="310"/>
      <c r="C9" s="310"/>
    </row>
    <row r="10" spans="1:3">
      <c r="A10" s="23" t="s">
        <v>730</v>
      </c>
      <c r="B10" s="310"/>
      <c r="C10" s="310"/>
    </row>
    <row r="11" spans="1:3">
      <c r="A11" s="23" t="s">
        <v>3370</v>
      </c>
      <c r="B11" s="233">
        <f>B9+B2</f>
        <v>0</v>
      </c>
      <c r="C11" s="233">
        <f>ROUND(C9+C2,2)</f>
        <v>0</v>
      </c>
    </row>
    <row r="12" spans="1:3">
      <c r="A12" s="23" t="s">
        <v>731</v>
      </c>
      <c r="B12" s="321"/>
      <c r="C12" s="321"/>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codeName="Sheet353">
    <tabColor rgb="FFFFC000"/>
  </sheetPr>
  <dimension ref="A1:C11"/>
  <sheetViews>
    <sheetView workbookViewId="0">
      <selection activeCell="H19" sqref="H19"/>
    </sheetView>
  </sheetViews>
  <sheetFormatPr defaultRowHeight="13.8"/>
  <cols>
    <col min="1" max="1" width="18.33203125" style="18" customWidth="1"/>
    <col min="2" max="2" width="14.5546875" style="1" customWidth="1"/>
    <col min="3" max="16384" width="8.88671875" style="18"/>
  </cols>
  <sheetData>
    <row r="1" spans="1:3" ht="14.4">
      <c r="A1" s="19" t="s">
        <v>28</v>
      </c>
      <c r="B1" s="153" t="s">
        <v>3347</v>
      </c>
      <c r="C1" s="20" t="s">
        <v>732</v>
      </c>
    </row>
    <row r="2" spans="1:3" ht="14.4">
      <c r="A2" s="268" t="s">
        <v>0</v>
      </c>
      <c r="B2" s="293">
        <f>ROUND(受限货币资金情况!B5,2)</f>
        <v>0</v>
      </c>
      <c r="C2" s="268"/>
    </row>
    <row r="3" spans="1:3" ht="14.4">
      <c r="A3" s="268" t="s">
        <v>5</v>
      </c>
      <c r="B3" s="373"/>
      <c r="C3" s="374"/>
    </row>
    <row r="4" spans="1:3" ht="14.4">
      <c r="A4" s="268" t="s">
        <v>6</v>
      </c>
      <c r="B4" s="373"/>
      <c r="C4" s="341"/>
    </row>
    <row r="5" spans="1:3" ht="14.4">
      <c r="A5" s="268" t="s">
        <v>9</v>
      </c>
      <c r="B5" s="267"/>
      <c r="C5" s="268"/>
    </row>
    <row r="6" spans="1:3" ht="14.4">
      <c r="A6" s="268" t="s">
        <v>78</v>
      </c>
      <c r="B6" s="267"/>
      <c r="C6" s="268"/>
    </row>
    <row r="7" spans="1:3" ht="14.4">
      <c r="A7" s="268" t="s">
        <v>89</v>
      </c>
      <c r="B7" s="267"/>
      <c r="C7" s="268"/>
    </row>
    <row r="8" spans="1:3" ht="14.4">
      <c r="A8" s="268" t="s">
        <v>423</v>
      </c>
      <c r="B8" s="267"/>
      <c r="C8" s="268"/>
    </row>
    <row r="9" spans="1:3" ht="14.4">
      <c r="A9" s="268" t="s">
        <v>90</v>
      </c>
      <c r="B9" s="267"/>
      <c r="C9" s="268"/>
    </row>
    <row r="10" spans="1:3" ht="14.4">
      <c r="A10" s="268" t="s">
        <v>13</v>
      </c>
      <c r="B10" s="267"/>
      <c r="C10" s="268"/>
    </row>
    <row r="11" spans="1:3" ht="14.4">
      <c r="A11" s="19" t="s">
        <v>204</v>
      </c>
      <c r="B11" s="293">
        <f>ROUND(SUM(B2:B10),2)</f>
        <v>0</v>
      </c>
      <c r="C11" s="294"/>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codeName="Sheet354">
    <tabColor rgb="FFFFFF00"/>
  </sheetPr>
  <dimension ref="A1:E21"/>
  <sheetViews>
    <sheetView workbookViewId="0">
      <selection activeCell="H15" sqref="H15"/>
    </sheetView>
  </sheetViews>
  <sheetFormatPr defaultRowHeight="13.8"/>
  <cols>
    <col min="1" max="1" width="16.109375" style="18" bestFit="1" customWidth="1"/>
    <col min="2" max="2" width="16.109375" style="18" customWidth="1"/>
    <col min="3" max="3" width="13.88671875" style="18" bestFit="1" customWidth="1"/>
    <col min="4" max="4" width="9.5546875" style="18" bestFit="1" customWidth="1"/>
    <col min="5" max="5" width="22.6640625" style="1" bestFit="1" customWidth="1"/>
    <col min="6" max="16384" width="8.88671875" style="18"/>
  </cols>
  <sheetData>
    <row r="1" spans="1:5" ht="14.4">
      <c r="A1" s="19" t="s">
        <v>28</v>
      </c>
      <c r="B1" s="19" t="s">
        <v>3685</v>
      </c>
      <c r="C1" s="20" t="s">
        <v>3372</v>
      </c>
      <c r="D1" s="20" t="s">
        <v>733</v>
      </c>
      <c r="E1" s="153" t="s">
        <v>734</v>
      </c>
    </row>
    <row r="2" spans="1:5" ht="14.4">
      <c r="A2" s="268" t="s">
        <v>0</v>
      </c>
      <c r="B2" s="268" t="s">
        <v>3686</v>
      </c>
      <c r="C2" s="280"/>
      <c r="D2" s="280"/>
      <c r="E2" s="267">
        <f t="shared" ref="E2:E20" si="0">ROUND(C2*D2,2)</f>
        <v>0</v>
      </c>
    </row>
    <row r="3" spans="1:5" ht="14.4">
      <c r="A3" s="268" t="s">
        <v>0</v>
      </c>
      <c r="B3" s="268" t="s">
        <v>1985</v>
      </c>
      <c r="C3" s="280"/>
      <c r="D3" s="280"/>
      <c r="E3" s="267">
        <f t="shared" si="0"/>
        <v>0</v>
      </c>
    </row>
    <row r="4" spans="1:5" ht="14.4">
      <c r="A4" s="268" t="s">
        <v>0</v>
      </c>
      <c r="B4" s="268" t="s">
        <v>3274</v>
      </c>
      <c r="C4" s="280"/>
      <c r="D4" s="280"/>
      <c r="E4" s="267">
        <f t="shared" si="0"/>
        <v>0</v>
      </c>
    </row>
    <row r="5" spans="1:5" ht="14.4">
      <c r="A5" s="268" t="s">
        <v>0</v>
      </c>
      <c r="B5" s="268" t="s">
        <v>13</v>
      </c>
      <c r="C5" s="280"/>
      <c r="D5" s="280"/>
      <c r="E5" s="267">
        <f t="shared" si="0"/>
        <v>0</v>
      </c>
    </row>
    <row r="6" spans="1:5" ht="14.4">
      <c r="A6" s="268" t="s">
        <v>9</v>
      </c>
      <c r="B6" s="268" t="s">
        <v>3686</v>
      </c>
      <c r="C6" s="280"/>
      <c r="D6" s="280"/>
      <c r="E6" s="267">
        <f t="shared" si="0"/>
        <v>0</v>
      </c>
    </row>
    <row r="7" spans="1:5" ht="14.4">
      <c r="A7" s="268" t="s">
        <v>9</v>
      </c>
      <c r="B7" s="268" t="s">
        <v>1985</v>
      </c>
      <c r="C7" s="280"/>
      <c r="D7" s="280"/>
      <c r="E7" s="267">
        <f t="shared" si="0"/>
        <v>0</v>
      </c>
    </row>
    <row r="8" spans="1:5" ht="14.4">
      <c r="A8" s="268" t="s">
        <v>9</v>
      </c>
      <c r="B8" s="268" t="s">
        <v>3274</v>
      </c>
      <c r="C8" s="280"/>
      <c r="D8" s="280"/>
      <c r="E8" s="267">
        <f t="shared" si="0"/>
        <v>0</v>
      </c>
    </row>
    <row r="9" spans="1:5" ht="14.4">
      <c r="A9" s="268" t="s">
        <v>9</v>
      </c>
      <c r="B9" s="268" t="s">
        <v>13</v>
      </c>
      <c r="C9" s="280"/>
      <c r="D9" s="280"/>
      <c r="E9" s="267">
        <f t="shared" si="0"/>
        <v>0</v>
      </c>
    </row>
    <row r="10" spans="1:5" ht="14.4">
      <c r="A10" s="268" t="s">
        <v>735</v>
      </c>
      <c r="B10" s="268" t="s">
        <v>3686</v>
      </c>
      <c r="C10" s="280"/>
      <c r="D10" s="280"/>
      <c r="E10" s="267">
        <f t="shared" si="0"/>
        <v>0</v>
      </c>
    </row>
    <row r="11" spans="1:5" ht="14.4">
      <c r="A11" s="268" t="s">
        <v>735</v>
      </c>
      <c r="B11" s="268" t="s">
        <v>1985</v>
      </c>
      <c r="C11" s="280"/>
      <c r="D11" s="280"/>
      <c r="E11" s="267">
        <f t="shared" si="0"/>
        <v>0</v>
      </c>
    </row>
    <row r="12" spans="1:5" ht="14.4">
      <c r="A12" s="268" t="s">
        <v>735</v>
      </c>
      <c r="B12" s="268" t="s">
        <v>3274</v>
      </c>
      <c r="C12" s="280"/>
      <c r="D12" s="280"/>
      <c r="E12" s="267">
        <f t="shared" si="0"/>
        <v>0</v>
      </c>
    </row>
    <row r="13" spans="1:5" ht="14.4">
      <c r="A13" s="268" t="s">
        <v>735</v>
      </c>
      <c r="B13" s="268" t="s">
        <v>13</v>
      </c>
      <c r="C13" s="280"/>
      <c r="D13" s="280"/>
      <c r="E13" s="267">
        <f t="shared" si="0"/>
        <v>0</v>
      </c>
    </row>
    <row r="14" spans="1:5" ht="14.4">
      <c r="A14" s="268" t="s">
        <v>93</v>
      </c>
      <c r="B14" s="268" t="s">
        <v>3686</v>
      </c>
      <c r="C14" s="280"/>
      <c r="D14" s="280"/>
      <c r="E14" s="267">
        <f t="shared" si="0"/>
        <v>0</v>
      </c>
    </row>
    <row r="15" spans="1:5" ht="14.4">
      <c r="A15" s="268" t="s">
        <v>93</v>
      </c>
      <c r="B15" s="268" t="s">
        <v>1985</v>
      </c>
      <c r="C15" s="280"/>
      <c r="D15" s="280"/>
      <c r="E15" s="267">
        <f t="shared" si="0"/>
        <v>0</v>
      </c>
    </row>
    <row r="16" spans="1:5" ht="14.4">
      <c r="A16" s="268" t="s">
        <v>93</v>
      </c>
      <c r="B16" s="268" t="s">
        <v>3274</v>
      </c>
      <c r="C16" s="280"/>
      <c r="D16" s="280"/>
      <c r="E16" s="267">
        <f t="shared" si="0"/>
        <v>0</v>
      </c>
    </row>
    <row r="17" spans="1:5" ht="14.4">
      <c r="A17" s="268" t="s">
        <v>93</v>
      </c>
      <c r="B17" s="268" t="s">
        <v>13</v>
      </c>
      <c r="C17" s="280"/>
      <c r="D17" s="280"/>
      <c r="E17" s="267">
        <f t="shared" si="0"/>
        <v>0</v>
      </c>
    </row>
    <row r="18" spans="1:5" ht="14.4">
      <c r="A18" s="268" t="s">
        <v>736</v>
      </c>
      <c r="B18" s="268" t="s">
        <v>3686</v>
      </c>
      <c r="C18" s="280"/>
      <c r="D18" s="280"/>
      <c r="E18" s="267">
        <f t="shared" si="0"/>
        <v>0</v>
      </c>
    </row>
    <row r="19" spans="1:5" ht="14.4">
      <c r="A19" s="268" t="s">
        <v>736</v>
      </c>
      <c r="B19" s="268" t="s">
        <v>1985</v>
      </c>
      <c r="C19" s="280"/>
      <c r="D19" s="280"/>
      <c r="E19" s="267">
        <f t="shared" si="0"/>
        <v>0</v>
      </c>
    </row>
    <row r="20" spans="1:5" ht="14.4">
      <c r="A20" s="268" t="s">
        <v>736</v>
      </c>
      <c r="B20" s="268" t="s">
        <v>3274</v>
      </c>
      <c r="C20" s="280"/>
      <c r="D20" s="280"/>
      <c r="E20" s="267">
        <f t="shared" si="0"/>
        <v>0</v>
      </c>
    </row>
    <row r="21" spans="1:5" ht="14.4">
      <c r="A21" s="268"/>
    </row>
  </sheetData>
  <phoneticPr fontId="1" type="noConversion"/>
  <pageMargins left="0.7" right="0.7" top="0.75" bottom="0.75" header="0.3" footer="0.3"/>
  <pageSetup paperSize="9" orientation="portrait" verticalDpi="0" r:id="rId1"/>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codeName="Sheet355">
    <tabColor rgb="FFFFC000"/>
  </sheetPr>
  <dimension ref="A1:B6"/>
  <sheetViews>
    <sheetView workbookViewId="0">
      <selection activeCell="F29" sqref="F29"/>
    </sheetView>
  </sheetViews>
  <sheetFormatPr defaultRowHeight="13.8"/>
  <cols>
    <col min="1" max="1" width="64.33203125" bestFit="1" customWidth="1"/>
  </cols>
  <sheetData>
    <row r="1" spans="1:2">
      <c r="A1" t="s">
        <v>28</v>
      </c>
      <c r="B1" t="s">
        <v>1837</v>
      </c>
    </row>
    <row r="2" spans="1:2">
      <c r="A2" t="s">
        <v>1642</v>
      </c>
      <c r="B2" s="255"/>
    </row>
    <row r="3" spans="1:2">
      <c r="A3" t="s">
        <v>1643</v>
      </c>
      <c r="B3" s="255"/>
    </row>
    <row r="4" spans="1:2">
      <c r="A4" t="s">
        <v>1644</v>
      </c>
      <c r="B4" s="255"/>
    </row>
    <row r="5" spans="1:2">
      <c r="A5" t="s">
        <v>1645</v>
      </c>
      <c r="B5" s="255"/>
    </row>
    <row r="6" spans="1:2">
      <c r="A6" t="s">
        <v>1646</v>
      </c>
      <c r="B6" s="255"/>
    </row>
  </sheetData>
  <phoneticPr fontId="1" type="noConversion"/>
  <pageMargins left="0.7" right="0.7" top="0.75" bottom="0.75" header="0.3" footer="0.3"/>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codeName="Sheet356">
    <tabColor rgb="FFFFC000"/>
  </sheetPr>
  <dimension ref="A1:B6"/>
  <sheetViews>
    <sheetView workbookViewId="0">
      <selection activeCell="F29" sqref="F29"/>
    </sheetView>
  </sheetViews>
  <sheetFormatPr defaultRowHeight="13.8"/>
  <cols>
    <col min="1" max="1" width="46.77734375" bestFit="1" customWidth="1"/>
  </cols>
  <sheetData>
    <row r="1" spans="1:2">
      <c r="A1" t="s">
        <v>28</v>
      </c>
      <c r="B1" t="s">
        <v>1837</v>
      </c>
    </row>
    <row r="2" spans="1:2">
      <c r="A2" t="s">
        <v>1647</v>
      </c>
      <c r="B2" s="255"/>
    </row>
    <row r="3" spans="1:2">
      <c r="A3" t="s">
        <v>1648</v>
      </c>
      <c r="B3" s="255"/>
    </row>
    <row r="4" spans="1:2">
      <c r="A4" t="s">
        <v>1649</v>
      </c>
      <c r="B4" s="255"/>
    </row>
    <row r="5" spans="1:2">
      <c r="A5" t="s">
        <v>1650</v>
      </c>
      <c r="B5" s="255"/>
    </row>
    <row r="6" spans="1:2">
      <c r="A6" t="s">
        <v>1651</v>
      </c>
      <c r="B6" s="255"/>
    </row>
  </sheetData>
  <phoneticPr fontId="1" type="noConversion"/>
  <pageMargins left="0.7" right="0.7" top="0.75" bottom="0.75" header="0.3" footer="0.3"/>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codeName="Sheet357">
    <tabColor rgb="FFFFC000"/>
  </sheetPr>
  <dimension ref="A1:B4"/>
  <sheetViews>
    <sheetView workbookViewId="0">
      <selection activeCell="C27" activeCellId="1" sqref="D22 C27"/>
    </sheetView>
  </sheetViews>
  <sheetFormatPr defaultRowHeight="13.8"/>
  <cols>
    <col min="1" max="1" width="77.5546875" bestFit="1" customWidth="1"/>
  </cols>
  <sheetData>
    <row r="1" spans="1:2">
      <c r="A1" s="159" t="s">
        <v>28</v>
      </c>
      <c r="B1" t="s">
        <v>1837</v>
      </c>
    </row>
    <row r="2" spans="1:2">
      <c r="A2" t="s">
        <v>1652</v>
      </c>
      <c r="B2" s="255"/>
    </row>
    <row r="3" spans="1:2">
      <c r="A3" t="s">
        <v>1653</v>
      </c>
      <c r="B3" s="255"/>
    </row>
    <row r="4" spans="1:2">
      <c r="A4" t="s">
        <v>1654</v>
      </c>
      <c r="B4" s="255"/>
    </row>
  </sheetData>
  <phoneticPr fontId="1" type="noConversion"/>
  <pageMargins left="0.7" right="0.7" top="0.75" bottom="0.75" header="0.3" footer="0.3"/>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F72-FC9A-4302-BD9B-A932F927EDDE}">
  <sheetPr codeName="Sheet358"/>
  <dimension ref="A1:K18"/>
  <sheetViews>
    <sheetView workbookViewId="0">
      <selection activeCell="G27" sqref="G27"/>
    </sheetView>
  </sheetViews>
  <sheetFormatPr defaultRowHeight="13.8"/>
  <cols>
    <col min="1" max="1" width="9.5546875" bestFit="1" customWidth="1"/>
    <col min="2" max="2" width="11.6640625" bestFit="1" customWidth="1"/>
    <col min="3" max="3" width="11.6640625" customWidth="1"/>
    <col min="4" max="5" width="11.6640625" bestFit="1" customWidth="1"/>
    <col min="6" max="6" width="9.5546875" bestFit="1" customWidth="1"/>
    <col min="7" max="7" width="20.44140625" bestFit="1" customWidth="1"/>
    <col min="8" max="10" width="9.5546875" bestFit="1" customWidth="1"/>
    <col min="11" max="11" width="16.109375" bestFit="1" customWidth="1"/>
  </cols>
  <sheetData>
    <row r="1" spans="1:11">
      <c r="A1" t="s">
        <v>3829</v>
      </c>
      <c r="B1" t="s">
        <v>3830</v>
      </c>
      <c r="C1" t="s">
        <v>2344</v>
      </c>
      <c r="D1" t="s">
        <v>1671</v>
      </c>
      <c r="E1" t="s">
        <v>1673</v>
      </c>
      <c r="F1" t="s">
        <v>3831</v>
      </c>
      <c r="G1" t="s">
        <v>3832</v>
      </c>
      <c r="H1" t="s">
        <v>3833</v>
      </c>
      <c r="I1" t="s">
        <v>3834</v>
      </c>
      <c r="J1" t="s">
        <v>3835</v>
      </c>
      <c r="K1" t="s">
        <v>3836</v>
      </c>
    </row>
    <row r="2" spans="1:11">
      <c r="C2" s="276"/>
      <c r="I2" s="276"/>
      <c r="J2" s="276"/>
      <c r="K2" s="276"/>
    </row>
    <row r="3" spans="1:11">
      <c r="C3" s="276"/>
      <c r="I3" s="276"/>
      <c r="J3" s="276"/>
      <c r="K3" s="276"/>
    </row>
    <row r="4" spans="1:11">
      <c r="C4" s="276"/>
      <c r="I4" s="276"/>
      <c r="J4" s="276"/>
      <c r="K4" s="276"/>
    </row>
    <row r="5" spans="1:11">
      <c r="C5" s="276"/>
      <c r="I5" s="276"/>
      <c r="J5" s="276"/>
      <c r="K5" s="276"/>
    </row>
    <row r="6" spans="1:11">
      <c r="C6" s="276"/>
      <c r="I6" s="276"/>
      <c r="J6" s="276"/>
      <c r="K6" s="276"/>
    </row>
    <row r="7" spans="1:11">
      <c r="C7" s="276"/>
      <c r="I7" s="276"/>
      <c r="J7" s="276"/>
      <c r="K7" s="276"/>
    </row>
    <row r="8" spans="1:11">
      <c r="C8" s="276"/>
      <c r="I8" s="276"/>
      <c r="J8" s="276"/>
      <c r="K8" s="276"/>
    </row>
    <row r="9" spans="1:11">
      <c r="C9" s="276"/>
      <c r="I9" s="276"/>
      <c r="J9" s="276"/>
      <c r="K9" s="276"/>
    </row>
    <row r="10" spans="1:11">
      <c r="C10" s="276"/>
      <c r="I10" s="276"/>
      <c r="J10" s="276"/>
      <c r="K10" s="276"/>
    </row>
    <row r="11" spans="1:11">
      <c r="C11" s="276"/>
      <c r="I11" s="276"/>
      <c r="J11" s="276"/>
      <c r="K11" s="276"/>
    </row>
    <row r="12" spans="1:11">
      <c r="C12" s="276"/>
      <c r="I12" s="276"/>
      <c r="J12" s="276"/>
      <c r="K12" s="276"/>
    </row>
    <row r="13" spans="1:11">
      <c r="C13" s="276"/>
      <c r="I13" s="276"/>
      <c r="J13" s="276"/>
      <c r="K13" s="276"/>
    </row>
    <row r="14" spans="1:11">
      <c r="C14" s="276"/>
      <c r="I14" s="276"/>
      <c r="J14" s="276"/>
      <c r="K14" s="276"/>
    </row>
    <row r="15" spans="1:11">
      <c r="C15" s="276"/>
      <c r="I15" s="276"/>
      <c r="J15" s="276"/>
      <c r="K15" s="276"/>
    </row>
    <row r="16" spans="1:11">
      <c r="C16" s="276"/>
      <c r="I16" s="276"/>
      <c r="J16" s="276"/>
      <c r="K16" s="276"/>
    </row>
    <row r="17" spans="3:11">
      <c r="C17" s="276"/>
      <c r="I17" s="276"/>
      <c r="J17" s="276"/>
      <c r="K17" s="276"/>
    </row>
    <row r="18" spans="3:11">
      <c r="C18" s="276"/>
      <c r="I18" s="276"/>
      <c r="J18" s="276"/>
      <c r="K18"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FF522B9-B6EC-4A6A-8290-68B3559C306F}">
          <x14:formula1>
            <xm:f>分类表!$103:$103</xm:f>
          </x14:formula1>
          <xm:sqref>I2:I18</xm:sqref>
        </x14:dataValidation>
        <x14:dataValidation type="list" allowBlank="1" showInputMessage="1" showErrorMessage="1" xr:uid="{1B98AA5D-B3B3-44CB-8564-782C4BB9694F}">
          <x14:formula1>
            <xm:f>分类表!$104:$104</xm:f>
          </x14:formula1>
          <xm:sqref>J2:J18</xm:sqref>
        </x14:dataValidation>
        <x14:dataValidation type="list" allowBlank="1" showInputMessage="1" showErrorMessage="1" xr:uid="{8028E45F-8C8E-4921-8BD0-AA9FDEDF8B4C}">
          <x14:formula1>
            <xm:f>分类表!$105:$105</xm:f>
          </x14:formula1>
          <xm:sqref>K2:K18</xm:sqref>
        </x14:dataValidation>
        <x14:dataValidation type="list" allowBlank="1" showInputMessage="1" showErrorMessage="1" xr:uid="{9E3EA892-B307-467E-80BD-AED6CC339F2A}">
          <x14:formula1>
            <xm:f>分类表!$9:$9</xm:f>
          </x14:formula1>
          <xm:sqref>C2:C18</xm:sqref>
        </x14:dataValidation>
      </x14:dataValidations>
    </ext>
  </extLst>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459D6-4F56-49EE-BB11-E11AA933214A}">
  <sheetPr codeName="Sheet359"/>
  <dimension ref="A1:J21"/>
  <sheetViews>
    <sheetView workbookViewId="0">
      <selection activeCell="H24" sqref="H24"/>
    </sheetView>
  </sheetViews>
  <sheetFormatPr defaultRowHeight="13.8"/>
  <cols>
    <col min="3" max="3" width="12.109375" customWidth="1"/>
    <col min="4" max="4" width="13.44140625" customWidth="1"/>
    <col min="5" max="5" width="15" customWidth="1"/>
    <col min="6" max="7" width="20.44140625" bestFit="1" customWidth="1"/>
    <col min="8" max="8" width="16.109375" bestFit="1" customWidth="1"/>
    <col min="9" max="9" width="18.33203125" bestFit="1" customWidth="1"/>
    <col min="10" max="10" width="9.5546875" bestFit="1" customWidth="1"/>
  </cols>
  <sheetData>
    <row r="1" spans="1:10">
      <c r="A1" t="s">
        <v>125</v>
      </c>
      <c r="B1" t="s">
        <v>1977</v>
      </c>
      <c r="C1" t="s">
        <v>95</v>
      </c>
      <c r="D1" t="s">
        <v>3837</v>
      </c>
      <c r="E1" t="s">
        <v>3838</v>
      </c>
      <c r="F1" t="s">
        <v>3839</v>
      </c>
      <c r="G1" t="s">
        <v>3832</v>
      </c>
      <c r="H1" t="s">
        <v>3840</v>
      </c>
      <c r="I1" t="s">
        <v>3841</v>
      </c>
      <c r="J1" t="s">
        <v>571</v>
      </c>
    </row>
    <row r="2" spans="1:10">
      <c r="A2" t="str">
        <f>IF(B2&lt;&gt;"",基础信息!$B$1,"")</f>
        <v/>
      </c>
      <c r="B2" s="276"/>
    </row>
    <row r="3" spans="1:10">
      <c r="A3" t="str">
        <f>IF(B3&lt;&gt;"",基础信息!$B$1,"")</f>
        <v/>
      </c>
      <c r="B3" s="276"/>
    </row>
    <row r="4" spans="1:10">
      <c r="A4" t="str">
        <f>IF(B4&lt;&gt;"",基础信息!$B$1,"")</f>
        <v/>
      </c>
      <c r="B4" s="276"/>
    </row>
    <row r="5" spans="1:10">
      <c r="A5" t="str">
        <f>IF(B5&lt;&gt;"",基础信息!$B$1,"")</f>
        <v/>
      </c>
      <c r="B5" s="276"/>
    </row>
    <row r="6" spans="1:10">
      <c r="A6" t="str">
        <f>IF(B6&lt;&gt;"",基础信息!$B$1,"")</f>
        <v/>
      </c>
      <c r="B6" s="276"/>
    </row>
    <row r="7" spans="1:10">
      <c r="A7" t="str">
        <f>IF(B7&lt;&gt;"",基础信息!$B$1,"")</f>
        <v/>
      </c>
      <c r="B7" s="276"/>
    </row>
    <row r="8" spans="1:10">
      <c r="A8" t="str">
        <f>IF(B8&lt;&gt;"",基础信息!$B$1,"")</f>
        <v/>
      </c>
      <c r="B8" s="276"/>
    </row>
    <row r="9" spans="1:10">
      <c r="A9" t="str">
        <f>IF(B9&lt;&gt;"",基础信息!$B$1,"")</f>
        <v/>
      </c>
      <c r="B9" s="276"/>
    </row>
    <row r="10" spans="1:10">
      <c r="A10" t="str">
        <f>IF(B10&lt;&gt;"",基础信息!$B$1,"")</f>
        <v/>
      </c>
      <c r="B10" s="276"/>
    </row>
    <row r="11" spans="1:10">
      <c r="A11" t="str">
        <f>IF(B11&lt;&gt;"",基础信息!$B$1,"")</f>
        <v/>
      </c>
      <c r="B11" s="276"/>
    </row>
    <row r="12" spans="1:10">
      <c r="A12" t="str">
        <f>IF(B12&lt;&gt;"",基础信息!$B$1,"")</f>
        <v/>
      </c>
      <c r="B12" s="276"/>
    </row>
    <row r="13" spans="1:10">
      <c r="A13" t="str">
        <f>IF(B13&lt;&gt;"",基础信息!$B$1,"")</f>
        <v/>
      </c>
      <c r="B13" s="276"/>
    </row>
    <row r="14" spans="1:10">
      <c r="A14" t="str">
        <f>IF(B14&lt;&gt;"",基础信息!$B$1,"")</f>
        <v/>
      </c>
      <c r="B14" s="276"/>
    </row>
    <row r="15" spans="1:10">
      <c r="A15" t="str">
        <f>IF(B15&lt;&gt;"",基础信息!$B$1,"")</f>
        <v/>
      </c>
      <c r="B15" s="276"/>
    </row>
    <row r="16" spans="1:10">
      <c r="A16" t="str">
        <f>IF(B16&lt;&gt;"",基础信息!$B$1,"")</f>
        <v/>
      </c>
      <c r="B16" s="276"/>
    </row>
    <row r="17" spans="1:2">
      <c r="A17" t="str">
        <f>IF(B17&lt;&gt;"",基础信息!$B$1,"")</f>
        <v/>
      </c>
      <c r="B17" s="276"/>
    </row>
    <row r="18" spans="1:2">
      <c r="A18" t="str">
        <f>IF(B18&lt;&gt;"",基础信息!$B$1,"")</f>
        <v/>
      </c>
      <c r="B18" s="276"/>
    </row>
    <row r="19" spans="1:2">
      <c r="A19" t="str">
        <f>IF(B19&lt;&gt;"",基础信息!$B$1,"")</f>
        <v/>
      </c>
      <c r="B19" s="276"/>
    </row>
    <row r="20" spans="1:2">
      <c r="A20" t="str">
        <f>IF(B20&lt;&gt;"",基础信息!$B$1,"")</f>
        <v/>
      </c>
      <c r="B20" s="276"/>
    </row>
    <row r="21" spans="1:2">
      <c r="A21" t="str">
        <f>IF(B21&lt;&gt;"",基础信息!$B$1,"")</f>
        <v/>
      </c>
      <c r="B21"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4C9ADD-D211-4AD7-8513-A0DB7DEC6EF5}">
          <x14:formula1>
            <xm:f>分类表!$106:$106</xm:f>
          </x14:formula1>
          <xm:sqref>B2:B21</xm:sqref>
        </x14:dataValidation>
      </x14:dataValidations>
    </ext>
  </extLst>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codeName="Sheet360">
    <tabColor rgb="FFFF0000"/>
  </sheetPr>
  <dimension ref="A1:F10"/>
  <sheetViews>
    <sheetView workbookViewId="0">
      <selection activeCell="H29" sqref="H29"/>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1655</v>
      </c>
      <c r="B1" t="s">
        <v>113</v>
      </c>
      <c r="C1" t="s">
        <v>115</v>
      </c>
      <c r="D1" t="s">
        <v>1656</v>
      </c>
      <c r="E1" t="s">
        <v>1657</v>
      </c>
      <c r="F1" t="s">
        <v>1658</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255"/>
      <c r="B8" s="255"/>
      <c r="C8" s="255"/>
      <c r="D8" s="255"/>
      <c r="E8" s="255"/>
      <c r="F8" s="255"/>
    </row>
    <row r="9" spans="1:6">
      <c r="A9" s="255"/>
      <c r="B9" s="255"/>
      <c r="C9" s="255"/>
      <c r="D9" s="255"/>
      <c r="E9" s="255"/>
      <c r="F9" s="255"/>
    </row>
    <row r="10" spans="1:6">
      <c r="A10" s="255"/>
      <c r="B10" s="255"/>
      <c r="C10" s="255"/>
      <c r="D10" s="255"/>
      <c r="E10" s="255"/>
      <c r="F10" s="255"/>
    </row>
  </sheetData>
  <phoneticPr fontId="1" type="noConversion"/>
  <pageMargins left="0.7" right="0.7" top="0.75" bottom="0.75" header="0.3" footer="0.3"/>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codeName="Sheet361">
    <tabColor rgb="FFFFC000"/>
  </sheetPr>
  <dimension ref="A1:B8"/>
  <sheetViews>
    <sheetView workbookViewId="0">
      <selection activeCell="N19" sqref="N19"/>
    </sheetView>
  </sheetViews>
  <sheetFormatPr defaultRowHeight="13.8"/>
  <cols>
    <col min="1" max="1" width="16.109375" bestFit="1" customWidth="1"/>
    <col min="2" max="2" width="24.88671875" bestFit="1" customWidth="1"/>
  </cols>
  <sheetData>
    <row r="1" spans="1:2">
      <c r="A1" t="s">
        <v>1659</v>
      </c>
      <c r="B1" t="s">
        <v>1660</v>
      </c>
    </row>
    <row r="2" spans="1:2">
      <c r="A2" s="259"/>
      <c r="B2" s="259"/>
    </row>
    <row r="3" spans="1:2">
      <c r="A3" s="259"/>
      <c r="B3" s="259"/>
    </row>
    <row r="4" spans="1:2">
      <c r="A4" s="259"/>
      <c r="B4" s="259"/>
    </row>
    <row r="5" spans="1:2">
      <c r="A5" s="259"/>
      <c r="B5" s="259"/>
    </row>
    <row r="6" spans="1:2">
      <c r="A6" s="259"/>
      <c r="B6" s="259"/>
    </row>
    <row r="7" spans="1:2">
      <c r="A7" s="259"/>
      <c r="B7" s="259"/>
    </row>
    <row r="8" spans="1:2">
      <c r="A8" s="259"/>
      <c r="B8" s="259"/>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sheetPr codeName="Sheet34">
    <tabColor rgb="FFFFC000"/>
  </sheetPr>
  <dimension ref="A1:E82"/>
  <sheetViews>
    <sheetView workbookViewId="0">
      <selection activeCell="G17" sqref="G17"/>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28</v>
      </c>
      <c r="B1" s="85" t="s">
        <v>54</v>
      </c>
      <c r="C1" s="20" t="s">
        <v>29</v>
      </c>
      <c r="D1" s="20" t="s">
        <v>30</v>
      </c>
      <c r="E1" s="85" t="s">
        <v>55</v>
      </c>
    </row>
    <row r="2" spans="1:5" ht="14.4">
      <c r="A2" s="60" t="s">
        <v>31</v>
      </c>
      <c r="B2" s="42"/>
      <c r="C2" s="42"/>
      <c r="D2" s="42"/>
      <c r="E2" s="42"/>
    </row>
    <row r="3" spans="1:5" ht="14.4">
      <c r="A3" s="86" t="s">
        <v>6</v>
      </c>
      <c r="B3" s="81"/>
      <c r="C3" s="50"/>
      <c r="D3" s="50"/>
      <c r="E3" s="50"/>
    </row>
    <row r="4" spans="1:5" ht="14.4">
      <c r="A4" s="61" t="s">
        <v>32</v>
      </c>
      <c r="B4" s="81"/>
      <c r="C4" s="81"/>
      <c r="D4" s="81"/>
      <c r="E4" s="81"/>
    </row>
    <row r="5" spans="1:5" ht="14.4">
      <c r="A5" s="61" t="s">
        <v>33</v>
      </c>
      <c r="B5" s="81"/>
      <c r="C5" s="81"/>
      <c r="D5" s="81"/>
      <c r="E5" s="81"/>
    </row>
    <row r="6" spans="1:5">
      <c r="A6" s="55" t="s">
        <v>13</v>
      </c>
      <c r="B6" s="81"/>
      <c r="C6" s="81"/>
      <c r="D6" s="81"/>
      <c r="E6" s="81"/>
    </row>
    <row r="7" spans="1:5" ht="14.4">
      <c r="A7" s="61" t="s">
        <v>34</v>
      </c>
      <c r="B7" s="81"/>
      <c r="C7" s="81"/>
      <c r="D7" s="81"/>
      <c r="E7" s="81"/>
    </row>
    <row r="8" spans="1:5">
      <c r="A8" s="55"/>
      <c r="B8" s="81"/>
      <c r="C8" s="81"/>
      <c r="D8" s="81"/>
      <c r="E8" s="81"/>
    </row>
    <row r="9" spans="1:5" ht="14.4">
      <c r="A9" s="86" t="s">
        <v>9</v>
      </c>
      <c r="B9" s="81"/>
      <c r="C9" s="81"/>
      <c r="D9" s="81"/>
      <c r="E9" s="81"/>
    </row>
    <row r="10" spans="1:5" ht="14.4">
      <c r="A10" s="61" t="s">
        <v>35</v>
      </c>
      <c r="B10" s="81"/>
      <c r="C10" s="81"/>
      <c r="D10" s="81"/>
      <c r="E10" s="81"/>
    </row>
    <row r="11" spans="1:5" ht="14.4">
      <c r="A11" s="61" t="s">
        <v>32</v>
      </c>
      <c r="B11" s="81"/>
      <c r="C11" s="81"/>
      <c r="D11" s="81"/>
      <c r="E11" s="81"/>
    </row>
    <row r="12" spans="1:5" ht="14.4">
      <c r="A12" s="61" t="s">
        <v>33</v>
      </c>
      <c r="B12" s="81"/>
      <c r="C12" s="81"/>
      <c r="D12" s="81"/>
      <c r="E12" s="81"/>
    </row>
    <row r="13" spans="1:5">
      <c r="A13" s="55" t="s">
        <v>13</v>
      </c>
      <c r="B13" s="81"/>
      <c r="C13" s="81"/>
      <c r="D13" s="81"/>
      <c r="E13" s="81"/>
    </row>
    <row r="14" spans="1:5" ht="14.4">
      <c r="A14" s="61" t="s">
        <v>34</v>
      </c>
      <c r="B14" s="81"/>
      <c r="C14" s="81"/>
      <c r="D14" s="81"/>
      <c r="E14" s="81"/>
    </row>
    <row r="15" spans="1:5">
      <c r="A15" s="55"/>
      <c r="B15" s="81"/>
      <c r="C15" s="81"/>
      <c r="D15" s="81"/>
      <c r="E15" s="81"/>
    </row>
    <row r="16" spans="1:5" ht="14.4">
      <c r="A16" s="86" t="s">
        <v>10</v>
      </c>
      <c r="B16" s="81"/>
      <c r="C16" s="81"/>
      <c r="D16" s="81"/>
      <c r="E16" s="81"/>
    </row>
    <row r="17" spans="1:5" ht="14.4">
      <c r="A17" s="61" t="s">
        <v>33</v>
      </c>
      <c r="B17" s="81"/>
      <c r="C17" s="81"/>
      <c r="D17" s="81"/>
      <c r="E17" s="81"/>
    </row>
    <row r="18" spans="1:5">
      <c r="A18" s="55" t="s">
        <v>13</v>
      </c>
      <c r="B18" s="81"/>
      <c r="C18" s="81"/>
      <c r="D18" s="81"/>
      <c r="E18" s="81"/>
    </row>
    <row r="19" spans="1:5" ht="14.4">
      <c r="A19" s="61" t="s">
        <v>34</v>
      </c>
      <c r="B19" s="81"/>
      <c r="C19" s="81"/>
      <c r="D19" s="81"/>
      <c r="E19" s="81"/>
    </row>
    <row r="20" spans="1:5">
      <c r="A20" s="55"/>
      <c r="B20" s="81"/>
      <c r="C20" s="81"/>
      <c r="D20" s="81"/>
      <c r="E20" s="81"/>
    </row>
    <row r="21" spans="1:5" ht="14.4">
      <c r="A21" s="86" t="s">
        <v>36</v>
      </c>
      <c r="B21" s="81"/>
      <c r="C21" s="81"/>
      <c r="D21" s="81"/>
      <c r="E21" s="81"/>
    </row>
    <row r="22" spans="1:5" ht="14.4">
      <c r="A22" s="61" t="s">
        <v>37</v>
      </c>
      <c r="B22" s="81"/>
      <c r="C22" s="81"/>
      <c r="D22" s="81"/>
      <c r="E22" s="81"/>
    </row>
    <row r="23" spans="1:5">
      <c r="A23" s="55" t="s">
        <v>13</v>
      </c>
      <c r="B23" s="81"/>
      <c r="C23" s="81"/>
      <c r="D23" s="81"/>
      <c r="E23" s="81"/>
    </row>
    <row r="24" spans="1:5" ht="14.4">
      <c r="A24" s="61" t="s">
        <v>34</v>
      </c>
      <c r="B24" s="81"/>
      <c r="C24" s="81"/>
      <c r="D24" s="81"/>
      <c r="E24" s="84"/>
    </row>
    <row r="25" spans="1:5">
      <c r="A25" s="55"/>
      <c r="B25" s="81"/>
      <c r="C25" s="81"/>
      <c r="D25" s="81"/>
      <c r="E25" s="81"/>
    </row>
    <row r="26" spans="1:5" ht="14.4">
      <c r="A26" s="86" t="s">
        <v>12</v>
      </c>
      <c r="B26" s="84"/>
      <c r="C26" s="81"/>
      <c r="D26" s="81"/>
      <c r="E26" s="81"/>
    </row>
    <row r="27" spans="1:5" ht="14.4">
      <c r="A27" s="61" t="s">
        <v>39</v>
      </c>
      <c r="B27" s="81"/>
      <c r="C27" s="81"/>
      <c r="D27" s="81"/>
      <c r="E27" s="81"/>
    </row>
    <row r="28" spans="1:5" ht="14.4">
      <c r="A28" s="61" t="s">
        <v>33</v>
      </c>
      <c r="B28" s="81"/>
      <c r="C28" s="81"/>
      <c r="D28" s="81"/>
      <c r="E28" s="81"/>
    </row>
    <row r="29" spans="1:5">
      <c r="A29" s="55" t="s">
        <v>13</v>
      </c>
      <c r="B29" s="81"/>
      <c r="C29" s="81"/>
      <c r="D29" s="81"/>
      <c r="E29" s="81"/>
    </row>
    <row r="30" spans="1:5" ht="14.4">
      <c r="A30" s="61" t="s">
        <v>34</v>
      </c>
      <c r="B30" s="81"/>
      <c r="C30" s="81"/>
      <c r="D30" s="81"/>
      <c r="E30" s="81"/>
    </row>
    <row r="31" spans="1:5">
      <c r="A31" s="55"/>
      <c r="B31" s="81"/>
      <c r="C31" s="81"/>
      <c r="D31" s="81"/>
      <c r="E31" s="81"/>
    </row>
    <row r="32" spans="1:5" ht="14.4">
      <c r="A32" s="86" t="s">
        <v>20</v>
      </c>
      <c r="B32" s="81"/>
      <c r="C32" s="81"/>
      <c r="D32" s="81"/>
      <c r="E32" s="81"/>
    </row>
    <row r="33" spans="1:5" ht="14.4">
      <c r="A33" s="61" t="s">
        <v>33</v>
      </c>
      <c r="B33" s="81"/>
      <c r="C33" s="81"/>
      <c r="D33" s="81"/>
      <c r="E33" s="81"/>
    </row>
    <row r="34" spans="1:5">
      <c r="A34" s="55" t="s">
        <v>13</v>
      </c>
      <c r="B34" s="81"/>
      <c r="C34" s="81"/>
      <c r="D34" s="81"/>
      <c r="E34" s="81"/>
    </row>
    <row r="35" spans="1:5" ht="14.4">
      <c r="A35" s="61" t="s">
        <v>34</v>
      </c>
      <c r="B35" s="81"/>
      <c r="C35" s="81"/>
      <c r="D35" s="81"/>
      <c r="E35" s="81"/>
    </row>
    <row r="36" spans="1:5">
      <c r="A36" s="55"/>
      <c r="B36" s="81"/>
      <c r="C36" s="81"/>
      <c r="D36" s="81"/>
      <c r="E36" s="81"/>
    </row>
    <row r="37" spans="1:5" ht="14.4">
      <c r="A37" s="60" t="s">
        <v>40</v>
      </c>
      <c r="B37" s="50"/>
      <c r="C37" s="50"/>
      <c r="D37" s="50"/>
      <c r="E37" s="50"/>
    </row>
    <row r="38" spans="1:5" ht="14.4">
      <c r="A38" s="86" t="s">
        <v>41</v>
      </c>
      <c r="B38" s="81"/>
      <c r="C38" s="50"/>
      <c r="D38" s="50"/>
      <c r="E38" s="50"/>
    </row>
    <row r="39" spans="1:5" ht="14.4">
      <c r="A39" s="61" t="s">
        <v>42</v>
      </c>
      <c r="B39" s="50"/>
      <c r="C39" s="81"/>
      <c r="D39" s="50"/>
      <c r="E39" s="50"/>
    </row>
    <row r="40" spans="1:5">
      <c r="A40" s="55" t="s">
        <v>13</v>
      </c>
      <c r="B40" s="50"/>
      <c r="C40" s="81"/>
      <c r="D40" s="50"/>
      <c r="E40" s="50"/>
    </row>
    <row r="41" spans="1:5" ht="14.4">
      <c r="A41" s="61" t="s">
        <v>74</v>
      </c>
      <c r="B41" s="50"/>
      <c r="C41" s="50"/>
      <c r="D41" s="50"/>
      <c r="E41" s="84"/>
    </row>
    <row r="42" spans="1:5">
      <c r="A42" s="55"/>
      <c r="B42" s="50"/>
      <c r="C42" s="50"/>
      <c r="D42" s="50"/>
      <c r="E42" s="81"/>
    </row>
    <row r="43" spans="1:5" ht="14.4">
      <c r="A43" s="86" t="s">
        <v>5</v>
      </c>
      <c r="B43" s="84"/>
      <c r="C43" s="50"/>
      <c r="D43" s="50"/>
      <c r="E43" s="81"/>
    </row>
    <row r="44" spans="1:5" ht="14.4">
      <c r="A44" s="61" t="s">
        <v>43</v>
      </c>
      <c r="B44" s="50"/>
      <c r="C44" s="81"/>
      <c r="D44" s="50"/>
      <c r="E44" s="81"/>
    </row>
    <row r="45" spans="1:5">
      <c r="A45" s="55" t="s">
        <v>13</v>
      </c>
      <c r="B45" s="50"/>
      <c r="C45" s="81"/>
      <c r="D45" s="50"/>
      <c r="E45" s="81"/>
    </row>
    <row r="46" spans="1:5" ht="14.4">
      <c r="A46" s="61" t="s">
        <v>34</v>
      </c>
      <c r="B46" s="50"/>
      <c r="C46" s="50"/>
      <c r="D46" s="50"/>
      <c r="E46" s="81"/>
    </row>
    <row r="47" spans="1:5">
      <c r="A47" s="55"/>
      <c r="B47" s="50"/>
      <c r="C47" s="50"/>
      <c r="D47" s="50"/>
      <c r="E47" s="81"/>
    </row>
    <row r="48" spans="1:5" ht="14.4">
      <c r="A48" s="86" t="s">
        <v>44</v>
      </c>
      <c r="B48" s="84"/>
      <c r="C48" s="50"/>
      <c r="D48" s="50"/>
      <c r="E48" s="81"/>
    </row>
    <row r="49" spans="1:5" ht="14.4">
      <c r="A49" s="61" t="s">
        <v>45</v>
      </c>
      <c r="B49" s="50"/>
      <c r="C49" s="81"/>
      <c r="D49" s="50"/>
      <c r="E49" s="81"/>
    </row>
    <row r="50" spans="1:5">
      <c r="A50" s="55" t="s">
        <v>13</v>
      </c>
      <c r="B50" s="50"/>
      <c r="C50" s="50"/>
      <c r="D50" s="50"/>
      <c r="E50" s="81"/>
    </row>
    <row r="51" spans="1:5" ht="14.4">
      <c r="A51" s="61" t="s">
        <v>34</v>
      </c>
      <c r="B51" s="50"/>
      <c r="C51" s="50"/>
      <c r="D51" s="50"/>
      <c r="E51" s="81"/>
    </row>
    <row r="52" spans="1:5">
      <c r="A52" s="55"/>
      <c r="B52" s="50"/>
      <c r="C52" s="50"/>
      <c r="D52" s="50"/>
      <c r="E52" s="81"/>
    </row>
    <row r="53" spans="1:5" ht="14.4">
      <c r="A53" s="60" t="s">
        <v>46</v>
      </c>
      <c r="B53" s="50"/>
      <c r="C53" s="50"/>
      <c r="D53" s="50"/>
      <c r="E53" s="81"/>
    </row>
    <row r="54" spans="1:5" ht="14.4">
      <c r="A54" s="86" t="s">
        <v>47</v>
      </c>
      <c r="B54" s="81"/>
      <c r="C54" s="50"/>
      <c r="D54" s="50"/>
      <c r="E54" s="81"/>
    </row>
    <row r="55" spans="1:5" ht="14.4">
      <c r="A55" s="61" t="s">
        <v>48</v>
      </c>
      <c r="B55" s="50"/>
      <c r="C55" s="81"/>
      <c r="D55" s="50"/>
      <c r="E55" s="81"/>
    </row>
    <row r="56" spans="1:5" ht="14.4">
      <c r="A56" s="61" t="s">
        <v>49</v>
      </c>
      <c r="B56" s="50"/>
      <c r="C56" s="81"/>
      <c r="D56" s="50"/>
      <c r="E56" s="81"/>
    </row>
    <row r="57" spans="1:5" ht="14.4">
      <c r="A57" s="61" t="s">
        <v>50</v>
      </c>
      <c r="B57" s="50"/>
      <c r="C57" s="81"/>
      <c r="D57" s="50"/>
      <c r="E57" s="81"/>
    </row>
    <row r="58" spans="1:5">
      <c r="A58" s="55" t="s">
        <v>13</v>
      </c>
      <c r="B58" s="50"/>
      <c r="C58" s="81"/>
      <c r="D58" s="50"/>
      <c r="E58" s="81"/>
    </row>
    <row r="59" spans="1:5" ht="14.4">
      <c r="A59" s="61" t="s">
        <v>34</v>
      </c>
      <c r="B59" s="50"/>
      <c r="C59" s="50"/>
      <c r="D59" s="50"/>
      <c r="E59" s="84"/>
    </row>
    <row r="60" spans="1:5">
      <c r="A60" s="55"/>
      <c r="B60" s="50"/>
      <c r="C60" s="50"/>
      <c r="D60" s="50"/>
      <c r="E60" s="81"/>
    </row>
    <row r="61" spans="1:5" ht="14.4">
      <c r="A61" s="86" t="s">
        <v>16</v>
      </c>
      <c r="B61" s="84"/>
      <c r="C61" s="50"/>
      <c r="D61" s="50"/>
      <c r="E61" s="81"/>
    </row>
    <row r="62" spans="1:5" ht="14.4">
      <c r="A62" s="61" t="s">
        <v>45</v>
      </c>
      <c r="B62" s="50"/>
      <c r="C62" s="81"/>
      <c r="D62" s="50"/>
      <c r="E62" s="81"/>
    </row>
    <row r="63" spans="1:5" ht="14.4">
      <c r="A63" s="61" t="s">
        <v>51</v>
      </c>
      <c r="B63" s="50"/>
      <c r="C63" s="81"/>
      <c r="D63" s="81"/>
      <c r="E63" s="81"/>
    </row>
    <row r="64" spans="1:5" ht="14.4">
      <c r="A64" s="61" t="s">
        <v>33</v>
      </c>
      <c r="B64" s="50"/>
      <c r="C64" s="81"/>
      <c r="D64" s="81"/>
      <c r="E64" s="81"/>
    </row>
    <row r="65" spans="1:5">
      <c r="A65" s="55" t="s">
        <v>13</v>
      </c>
      <c r="B65" s="50"/>
      <c r="C65" s="81"/>
      <c r="D65" s="50"/>
      <c r="E65" s="81"/>
    </row>
    <row r="66" spans="1:5" ht="14.4">
      <c r="A66" s="61" t="s">
        <v>34</v>
      </c>
      <c r="B66" s="50"/>
      <c r="C66" s="50"/>
      <c r="D66" s="50"/>
      <c r="E66" s="81"/>
    </row>
    <row r="67" spans="1:5">
      <c r="A67" s="55"/>
      <c r="B67" s="50"/>
      <c r="C67" s="50"/>
      <c r="D67" s="50"/>
      <c r="E67" s="81"/>
    </row>
    <row r="68" spans="1:5" ht="14.4">
      <c r="A68" s="86" t="s">
        <v>19</v>
      </c>
      <c r="B68" s="84"/>
      <c r="C68" s="50"/>
      <c r="D68" s="50"/>
      <c r="E68" s="81"/>
    </row>
    <row r="69" spans="1:5" ht="14.4">
      <c r="A69" s="61" t="s">
        <v>45</v>
      </c>
      <c r="B69" s="50"/>
      <c r="C69" s="81"/>
      <c r="D69" s="50"/>
      <c r="E69" s="81"/>
    </row>
    <row r="70" spans="1:5" ht="14.4">
      <c r="A70" s="61" t="s">
        <v>51</v>
      </c>
      <c r="B70" s="50"/>
      <c r="C70" s="50"/>
      <c r="D70" s="81"/>
      <c r="E70" s="81"/>
    </row>
    <row r="71" spans="1:5">
      <c r="A71" s="55" t="s">
        <v>13</v>
      </c>
      <c r="B71" s="50"/>
      <c r="C71" s="50"/>
      <c r="D71" s="81"/>
      <c r="E71" s="81"/>
    </row>
    <row r="72" spans="1:5" ht="14.4">
      <c r="A72" s="61" t="s">
        <v>34</v>
      </c>
      <c r="B72" s="50"/>
      <c r="C72" s="50"/>
      <c r="D72" s="50"/>
      <c r="E72" s="81"/>
    </row>
    <row r="73" spans="1:5">
      <c r="A73" s="55"/>
      <c r="B73" s="50"/>
      <c r="C73" s="50"/>
      <c r="D73" s="50"/>
      <c r="E73" s="81"/>
    </row>
    <row r="74" spans="1:5" ht="14.4">
      <c r="A74" s="86" t="s">
        <v>7</v>
      </c>
      <c r="B74" s="84"/>
      <c r="C74" s="50"/>
      <c r="D74" s="50"/>
      <c r="E74" s="81"/>
    </row>
    <row r="75" spans="1:5" ht="14.4">
      <c r="A75" s="61" t="s">
        <v>52</v>
      </c>
      <c r="B75" s="50"/>
      <c r="C75" s="81"/>
      <c r="D75" s="50"/>
      <c r="E75" s="81"/>
    </row>
    <row r="76" spans="1:5" ht="14.4">
      <c r="A76" s="61" t="s">
        <v>53</v>
      </c>
      <c r="B76" s="50"/>
      <c r="C76" s="81"/>
      <c r="D76" s="50"/>
      <c r="E76" s="81"/>
    </row>
    <row r="77" spans="1:5" ht="14.4">
      <c r="A77" s="61" t="s">
        <v>51</v>
      </c>
      <c r="B77" s="50"/>
      <c r="C77" s="81"/>
      <c r="D77" s="81"/>
      <c r="E77" s="81"/>
    </row>
    <row r="78" spans="1:5" ht="14.4">
      <c r="A78" s="61" t="s">
        <v>33</v>
      </c>
      <c r="B78" s="50"/>
      <c r="C78" s="81"/>
      <c r="D78" s="81"/>
      <c r="E78" s="81"/>
    </row>
    <row r="79" spans="1:5">
      <c r="A79" s="55" t="s">
        <v>13</v>
      </c>
      <c r="B79" s="50"/>
      <c r="C79" s="50"/>
      <c r="D79" s="50"/>
      <c r="E79" s="81"/>
    </row>
    <row r="80" spans="1:5" ht="14.4">
      <c r="A80" s="61" t="s">
        <v>34</v>
      </c>
      <c r="B80" s="50"/>
      <c r="C80" s="50"/>
      <c r="D80" s="50"/>
      <c r="E80" s="81"/>
    </row>
    <row r="81" spans="1:5">
      <c r="A81" s="55"/>
      <c r="B81" s="50"/>
      <c r="C81" s="50"/>
      <c r="D81" s="50"/>
      <c r="E81" s="81"/>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codeName="Sheet362">
    <tabColor rgb="FFFFC000"/>
  </sheetPr>
  <dimension ref="A1:D9"/>
  <sheetViews>
    <sheetView workbookViewId="0">
      <selection activeCell="L23" sqref="L23"/>
    </sheetView>
  </sheetViews>
  <sheetFormatPr defaultRowHeight="13.8"/>
  <cols>
    <col min="1" max="1" width="7.5546875" bestFit="1" customWidth="1"/>
    <col min="2" max="2" width="13.88671875" bestFit="1" customWidth="1"/>
    <col min="3" max="4" width="11.6640625" bestFit="1" customWidth="1"/>
  </cols>
  <sheetData>
    <row r="1" spans="1:4">
      <c r="A1" t="s">
        <v>1661</v>
      </c>
      <c r="B1" t="s">
        <v>1662</v>
      </c>
      <c r="C1" t="s">
        <v>3367</v>
      </c>
      <c r="D1" t="s">
        <v>3368</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codeName="Sheet363">
    <tabColor rgb="FFFFC000"/>
  </sheetPr>
  <dimension ref="A1:D10"/>
  <sheetViews>
    <sheetView workbookViewId="0">
      <selection sqref="A1:D10"/>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1661</v>
      </c>
      <c r="B1" t="s">
        <v>1662</v>
      </c>
      <c r="C1" t="s">
        <v>577</v>
      </c>
      <c r="D1" t="s">
        <v>634</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row r="10" spans="1:4">
      <c r="A10" s="255"/>
      <c r="B10" s="255"/>
      <c r="C10" s="255"/>
      <c r="D10" s="255"/>
    </row>
  </sheetData>
  <phoneticPr fontId="1" type="noConversion"/>
  <pageMargins left="0.7" right="0.7" top="0.75" bottom="0.75" header="0.3" footer="0.3"/>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codeName="Sheet364">
    <tabColor rgb="FFFFC000"/>
  </sheetPr>
  <dimension ref="A1:D7"/>
  <sheetViews>
    <sheetView workbookViewId="0">
      <selection activeCell="G28" activeCellId="1" sqref="D14 G28"/>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1663</v>
      </c>
      <c r="B1" t="s">
        <v>1664</v>
      </c>
      <c r="C1" t="s">
        <v>577</v>
      </c>
      <c r="D1" t="s">
        <v>634</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sheetData>
  <phoneticPr fontId="1" type="noConversion"/>
  <pageMargins left="0.7" right="0.7" top="0.75" bottom="0.75" header="0.3" footer="0.3"/>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codeName="Sheet365">
    <tabColor rgb="FFFFC000"/>
  </sheetPr>
  <dimension ref="A1:E8"/>
  <sheetViews>
    <sheetView workbookViewId="0">
      <selection activeCell="I27" activeCellId="1" sqref="D15 I27"/>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56"/>
  </cols>
  <sheetData>
    <row r="1" spans="1:4">
      <c r="A1" t="s">
        <v>1665</v>
      </c>
      <c r="B1" t="s">
        <v>1664</v>
      </c>
      <c r="C1" t="s">
        <v>577</v>
      </c>
      <c r="D1" t="s">
        <v>634</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sheetData>
  <phoneticPr fontId="1" type="noConversion"/>
  <pageMargins left="0.7" right="0.7" top="0.75" bottom="0.75" header="0.3" footer="0.3"/>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codeName="Sheet366">
    <tabColor rgb="FFFFC000"/>
  </sheetPr>
  <dimension ref="A1:D8"/>
  <sheetViews>
    <sheetView workbookViewId="0">
      <selection activeCell="I25" sqref="I25"/>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1665</v>
      </c>
      <c r="B1" t="s">
        <v>1664</v>
      </c>
      <c r="C1" t="s">
        <v>577</v>
      </c>
      <c r="D1" t="s">
        <v>634</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sheetData>
  <phoneticPr fontId="1" type="noConversion"/>
  <pageMargins left="0.7" right="0.7" top="0.75" bottom="0.75" header="0.3" footer="0.3"/>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codeName="Sheet367">
    <tabColor rgb="FFFFC000"/>
  </sheetPr>
  <dimension ref="A1:E6"/>
  <sheetViews>
    <sheetView workbookViewId="0">
      <selection activeCell="J20" sqref="J20"/>
    </sheetView>
  </sheetViews>
  <sheetFormatPr defaultRowHeight="13.8"/>
  <cols>
    <col min="3" max="3" width="14.44140625" customWidth="1"/>
    <col min="4" max="4" width="17.44140625" customWidth="1"/>
    <col min="5" max="5" width="21.77734375" customWidth="1"/>
  </cols>
  <sheetData>
    <row r="1" spans="1:5" ht="28.2" customHeight="1">
      <c r="A1" s="32" t="s">
        <v>1666</v>
      </c>
      <c r="B1" s="32" t="s">
        <v>3384</v>
      </c>
      <c r="C1" s="20" t="s">
        <v>1671</v>
      </c>
      <c r="D1" s="20" t="s">
        <v>1673</v>
      </c>
      <c r="E1" s="32" t="s">
        <v>1669</v>
      </c>
    </row>
    <row r="2" spans="1:5" ht="14.4">
      <c r="A2" s="306"/>
      <c r="B2" s="306"/>
      <c r="C2" s="269"/>
      <c r="D2" s="269"/>
      <c r="E2" s="306" t="s">
        <v>1674</v>
      </c>
    </row>
    <row r="3" spans="1:5" ht="14.4">
      <c r="A3" s="268"/>
      <c r="B3" s="280"/>
      <c r="C3" s="281"/>
      <c r="D3" s="281"/>
      <c r="E3" s="281"/>
    </row>
    <row r="4" spans="1:5" ht="14.4">
      <c r="A4" s="268"/>
      <c r="B4" s="280"/>
      <c r="C4" s="281"/>
      <c r="D4" s="281"/>
      <c r="E4" s="281"/>
    </row>
    <row r="5" spans="1:5">
      <c r="A5" s="255"/>
      <c r="B5" s="255"/>
      <c r="C5" s="255"/>
      <c r="D5" s="255"/>
      <c r="E5" s="255"/>
    </row>
    <row r="6" spans="1:5">
      <c r="A6" s="255"/>
      <c r="B6" s="255"/>
      <c r="C6" s="255"/>
      <c r="D6" s="255"/>
      <c r="E6" s="255"/>
    </row>
  </sheetData>
  <phoneticPr fontId="1" type="noConversion"/>
  <pageMargins left="0.7" right="0.7" top="0.75" bottom="0.75" header="0.3" footer="0.3"/>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codeName="Sheet368">
    <tabColor rgb="FFFFC000"/>
  </sheetPr>
  <dimension ref="A1:E9"/>
  <sheetViews>
    <sheetView workbookViewId="0">
      <selection activeCell="K25" sqref="K25"/>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1675</v>
      </c>
      <c r="B1" t="s">
        <v>1667</v>
      </c>
      <c r="C1" t="s">
        <v>1670</v>
      </c>
      <c r="D1" t="s">
        <v>1672</v>
      </c>
      <c r="E1" t="s">
        <v>1669</v>
      </c>
    </row>
    <row r="2" spans="1:5">
      <c r="A2" s="255"/>
      <c r="B2" s="255"/>
      <c r="C2" s="255"/>
      <c r="D2" s="255"/>
      <c r="E2" s="255"/>
    </row>
    <row r="3" spans="1:5">
      <c r="A3" s="255"/>
      <c r="B3" s="255"/>
      <c r="C3" s="255"/>
      <c r="D3" s="255"/>
      <c r="E3" s="255"/>
    </row>
    <row r="4" spans="1:5">
      <c r="A4" s="255"/>
      <c r="B4" s="255"/>
      <c r="C4" s="255"/>
      <c r="D4" s="255"/>
      <c r="E4" s="255"/>
    </row>
    <row r="5" spans="1:5">
      <c r="A5" s="255"/>
      <c r="B5" s="255"/>
      <c r="C5" s="255"/>
      <c r="D5" s="255"/>
      <c r="E5" s="255"/>
    </row>
    <row r="6" spans="1:5">
      <c r="A6" s="255"/>
      <c r="B6" s="255"/>
      <c r="C6" s="255"/>
      <c r="D6" s="255"/>
      <c r="E6" s="255"/>
    </row>
    <row r="7" spans="1:5">
      <c r="A7" s="255"/>
      <c r="B7" s="255"/>
      <c r="C7" s="255"/>
      <c r="D7" s="255"/>
      <c r="E7" s="255"/>
    </row>
    <row r="8" spans="1:5">
      <c r="A8" s="255"/>
      <c r="B8" s="255"/>
      <c r="C8" s="255"/>
      <c r="D8" s="255"/>
      <c r="E8" s="255"/>
    </row>
    <row r="9" spans="1:5">
      <c r="A9" s="255"/>
      <c r="B9" s="255"/>
      <c r="C9" s="255"/>
      <c r="D9" s="255"/>
      <c r="E9" s="255"/>
    </row>
  </sheetData>
  <phoneticPr fontId="1" type="noConversion"/>
  <pageMargins left="0.7" right="0.7" top="0.75" bottom="0.75" header="0.3" footer="0.3"/>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codeName="Sheet369">
    <tabColor rgb="FFFFC000"/>
  </sheetPr>
  <dimension ref="A1:E7"/>
  <sheetViews>
    <sheetView workbookViewId="0">
      <selection activeCell="L27" sqref="L27"/>
    </sheetView>
  </sheetViews>
  <sheetFormatPr defaultRowHeight="13.8"/>
  <sheetData>
    <row r="1" spans="1:5">
      <c r="A1" t="s">
        <v>1661</v>
      </c>
      <c r="B1" t="s">
        <v>1676</v>
      </c>
      <c r="C1" t="s">
        <v>1668</v>
      </c>
      <c r="D1" t="s">
        <v>372</v>
      </c>
      <c r="E1" t="s">
        <v>1837</v>
      </c>
    </row>
    <row r="2" spans="1:5">
      <c r="A2" s="255" t="s">
        <v>1677</v>
      </c>
      <c r="B2" s="255"/>
      <c r="C2" s="255"/>
      <c r="D2" s="255"/>
      <c r="E2" s="255"/>
    </row>
    <row r="3" spans="1:5">
      <c r="A3" s="255"/>
      <c r="B3" s="255"/>
      <c r="C3" s="255"/>
      <c r="D3" s="255"/>
      <c r="E3" s="255"/>
    </row>
    <row r="4" spans="1:5">
      <c r="A4" s="255"/>
      <c r="B4" s="255"/>
      <c r="C4" s="255"/>
      <c r="D4" s="255"/>
      <c r="E4" s="255"/>
    </row>
    <row r="5" spans="1:5">
      <c r="A5" s="255" t="s">
        <v>1678</v>
      </c>
      <c r="B5" s="255"/>
      <c r="C5" s="255"/>
      <c r="D5" s="255"/>
      <c r="E5" s="255"/>
    </row>
    <row r="6" spans="1:5">
      <c r="A6" s="255"/>
      <c r="B6" s="255"/>
      <c r="C6" s="255"/>
      <c r="D6" s="255"/>
      <c r="E6" s="255"/>
    </row>
    <row r="7" spans="1:5">
      <c r="A7" s="255"/>
      <c r="B7" s="255"/>
      <c r="C7" s="255"/>
      <c r="D7" s="255"/>
      <c r="E7" s="255"/>
    </row>
  </sheetData>
  <phoneticPr fontId="1" type="noConversion"/>
  <pageMargins left="0.7" right="0.7" top="0.75" bottom="0.75" header="0.3" footer="0.3"/>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codeName="Sheet370">
    <tabColor rgb="FFFFC000"/>
  </sheetPr>
  <dimension ref="A1:C2"/>
  <sheetViews>
    <sheetView workbookViewId="0">
      <selection activeCell="I30" sqref="I30"/>
    </sheetView>
  </sheetViews>
  <sheetFormatPr defaultRowHeight="13.8"/>
  <cols>
    <col min="1" max="1" width="18.33203125" bestFit="1" customWidth="1"/>
    <col min="2" max="3" width="11.6640625" bestFit="1" customWidth="1"/>
  </cols>
  <sheetData>
    <row r="1" spans="1:3">
      <c r="A1" t="s">
        <v>28</v>
      </c>
      <c r="B1" t="s">
        <v>3367</v>
      </c>
      <c r="C1" t="s">
        <v>3368</v>
      </c>
    </row>
    <row r="2" spans="1:3">
      <c r="A2" s="255" t="s">
        <v>1679</v>
      </c>
      <c r="B2" s="255"/>
      <c r="C2" s="255"/>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F354-367D-4BFF-B821-41D78EDA5C6A}">
  <sheetPr codeName="Sheet371">
    <tabColor rgb="FFFFC000"/>
  </sheetPr>
  <dimension ref="A1:D10"/>
  <sheetViews>
    <sheetView workbookViewId="0">
      <selection activeCell="H22" sqref="H22"/>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1661</v>
      </c>
      <c r="B1" t="s">
        <v>1662</v>
      </c>
      <c r="C1" t="s">
        <v>577</v>
      </c>
      <c r="D1" t="s">
        <v>634</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row r="10" spans="1:4">
      <c r="A10" s="255"/>
      <c r="B10" s="255"/>
      <c r="C10" s="255"/>
      <c r="D10" s="255"/>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sheetPr codeName="Sheet35">
    <tabColor rgb="FFFFC000"/>
  </sheetPr>
  <dimension ref="A1:E17"/>
  <sheetViews>
    <sheetView workbookViewId="0">
      <selection activeCell="B2" sqref="B2:E19"/>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56</v>
      </c>
      <c r="B1" s="20" t="s">
        <v>54</v>
      </c>
      <c r="C1" s="20" t="s">
        <v>29</v>
      </c>
      <c r="D1" s="20" t="s">
        <v>30</v>
      </c>
      <c r="E1" s="20" t="s">
        <v>55</v>
      </c>
    </row>
    <row r="2" spans="1:5" ht="14.4">
      <c r="A2" s="60" t="s">
        <v>31</v>
      </c>
      <c r="B2" s="54"/>
      <c r="C2" s="54"/>
      <c r="D2" s="54"/>
      <c r="E2" s="54"/>
    </row>
    <row r="3" spans="1:5" ht="14.4">
      <c r="A3" s="61" t="s">
        <v>57</v>
      </c>
      <c r="B3" s="81"/>
      <c r="C3" s="81"/>
      <c r="D3" s="81"/>
      <c r="E3" s="81"/>
    </row>
    <row r="4" spans="1:5" ht="14.4">
      <c r="A4" s="61" t="s">
        <v>58</v>
      </c>
      <c r="B4" s="81"/>
      <c r="C4" s="81"/>
      <c r="D4" s="81"/>
      <c r="E4" s="81"/>
    </row>
    <row r="5" spans="1:5" ht="14.4">
      <c r="A5" s="61" t="s">
        <v>59</v>
      </c>
      <c r="B5" s="81"/>
      <c r="C5" s="50"/>
      <c r="D5" s="81"/>
      <c r="E5" s="81"/>
    </row>
    <row r="6" spans="1:5" ht="14.4">
      <c r="A6" s="61" t="s">
        <v>60</v>
      </c>
      <c r="B6" s="81"/>
      <c r="C6" s="81"/>
      <c r="D6" s="81"/>
      <c r="E6" s="84"/>
    </row>
    <row r="7" spans="1:5" ht="14.4">
      <c r="A7" s="61" t="s">
        <v>61</v>
      </c>
      <c r="B7" s="84"/>
      <c r="C7" s="81"/>
      <c r="D7" s="81"/>
      <c r="E7" s="81"/>
    </row>
    <row r="8" spans="1:5" ht="14.4">
      <c r="A8" s="61" t="s">
        <v>62</v>
      </c>
      <c r="B8" s="81"/>
      <c r="C8" s="50"/>
      <c r="D8" s="81"/>
      <c r="E8" s="81"/>
    </row>
    <row r="9" spans="1:5">
      <c r="A9" s="42" t="s">
        <v>13</v>
      </c>
      <c r="B9" s="50"/>
      <c r="C9" s="50"/>
      <c r="D9" s="50"/>
      <c r="E9" s="50"/>
    </row>
    <row r="10" spans="1:5">
      <c r="A10" s="42"/>
      <c r="B10" s="50"/>
      <c r="C10" s="50"/>
      <c r="D10" s="50"/>
      <c r="E10" s="50"/>
    </row>
    <row r="11" spans="1:5" ht="28.8">
      <c r="A11" s="60" t="s">
        <v>63</v>
      </c>
      <c r="B11" s="50"/>
      <c r="C11" s="50"/>
      <c r="D11" s="50"/>
      <c r="E11" s="50"/>
    </row>
    <row r="12" spans="1:5" ht="14.4">
      <c r="A12" s="61" t="s">
        <v>64</v>
      </c>
      <c r="B12" s="84"/>
      <c r="C12" s="81"/>
      <c r="D12" s="81"/>
      <c r="E12" s="81"/>
    </row>
    <row r="13" spans="1:5">
      <c r="A13" s="42" t="s">
        <v>13</v>
      </c>
      <c r="B13" s="50"/>
      <c r="C13" s="50"/>
      <c r="D13" s="50"/>
      <c r="E13" s="50"/>
    </row>
    <row r="14" spans="1:5">
      <c r="A14" s="42"/>
      <c r="B14" s="50"/>
      <c r="C14" s="50"/>
      <c r="D14" s="50"/>
      <c r="E14" s="50"/>
    </row>
    <row r="15" spans="1:5" ht="14.4">
      <c r="A15" s="60" t="s">
        <v>65</v>
      </c>
      <c r="B15" s="50"/>
      <c r="C15" s="50"/>
      <c r="D15" s="50"/>
      <c r="E15" s="50"/>
    </row>
    <row r="16" spans="1:5" ht="14.4">
      <c r="A16" s="61" t="s">
        <v>66</v>
      </c>
      <c r="B16" s="50"/>
      <c r="C16" s="81"/>
      <c r="D16" s="81"/>
      <c r="E16" s="81"/>
    </row>
    <row r="17" spans="1:5">
      <c r="A17" s="55" t="s">
        <v>13</v>
      </c>
      <c r="B17" s="81"/>
      <c r="C17" s="81"/>
      <c r="D17" s="81"/>
      <c r="E17" s="81"/>
    </row>
  </sheetData>
  <phoneticPr fontId="1" type="noConversion"/>
  <pageMargins left="0.7" right="0.7" top="0.75" bottom="0.75" header="0.3" footer="0.3"/>
  <pageSetup paperSize="9" orientation="portrait" verticalDpi="0" r:id="rId1"/>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codeName="Sheet372">
    <tabColor rgb="FFFFC000"/>
  </sheetPr>
  <dimension ref="A1:F12"/>
  <sheetViews>
    <sheetView workbookViewId="0">
      <selection activeCell="L23" sqref="L23"/>
    </sheetView>
  </sheetViews>
  <sheetFormatPr defaultRowHeight="13.8"/>
  <cols>
    <col min="1" max="1" width="11.6640625" bestFit="1" customWidth="1"/>
    <col min="2" max="2" width="11.6640625" customWidth="1"/>
    <col min="3" max="6" width="13.88671875" bestFit="1" customWidth="1"/>
  </cols>
  <sheetData>
    <row r="1" spans="1:6">
      <c r="A1" t="s">
        <v>1680</v>
      </c>
      <c r="B1" t="s">
        <v>1685</v>
      </c>
      <c r="C1" t="s">
        <v>214</v>
      </c>
      <c r="D1" t="s">
        <v>215</v>
      </c>
      <c r="E1" t="s">
        <v>217</v>
      </c>
      <c r="F1" t="s">
        <v>219</v>
      </c>
    </row>
    <row r="2" spans="1:6">
      <c r="A2" s="255"/>
      <c r="B2" s="255"/>
      <c r="C2" s="255"/>
      <c r="D2" s="255"/>
      <c r="E2" s="255"/>
      <c r="F2" s="255"/>
    </row>
    <row r="3" spans="1:6">
      <c r="A3" s="255" t="s">
        <v>9</v>
      </c>
      <c r="B3" s="255"/>
      <c r="C3" s="255"/>
      <c r="D3" s="255"/>
      <c r="E3" s="255"/>
      <c r="F3" s="255"/>
    </row>
    <row r="4" spans="1:6">
      <c r="A4" s="255"/>
      <c r="B4" s="255"/>
      <c r="C4" s="255"/>
      <c r="D4" s="255"/>
      <c r="E4" s="255"/>
      <c r="F4" s="255"/>
    </row>
    <row r="5" spans="1:6">
      <c r="A5" s="255" t="s">
        <v>546</v>
      </c>
      <c r="B5" s="255"/>
      <c r="C5" s="255"/>
      <c r="D5" s="255"/>
      <c r="E5" s="255"/>
      <c r="F5" s="255"/>
    </row>
    <row r="6" spans="1:6">
      <c r="A6" s="255" t="s">
        <v>88</v>
      </c>
      <c r="B6" s="255"/>
      <c r="C6" s="255"/>
      <c r="D6" s="255"/>
      <c r="E6" s="255"/>
      <c r="F6" s="255"/>
    </row>
    <row r="7" spans="1:6">
      <c r="A7" s="255"/>
      <c r="B7" s="255"/>
      <c r="C7" s="255"/>
      <c r="D7" s="255"/>
      <c r="E7" s="255"/>
      <c r="F7" s="255"/>
    </row>
    <row r="8" spans="1:6">
      <c r="A8" s="255" t="s">
        <v>546</v>
      </c>
      <c r="B8" s="255"/>
      <c r="C8" s="255"/>
      <c r="D8" s="255"/>
      <c r="E8" s="255"/>
      <c r="F8" s="255"/>
    </row>
    <row r="9" spans="1:6">
      <c r="A9" s="255" t="s">
        <v>10</v>
      </c>
      <c r="B9" s="255"/>
      <c r="C9" s="255"/>
      <c r="D9" s="255"/>
      <c r="E9" s="255"/>
      <c r="F9" s="255"/>
    </row>
    <row r="10" spans="1:6">
      <c r="A10" s="255"/>
      <c r="B10" s="255"/>
      <c r="C10" s="255"/>
      <c r="D10" s="255"/>
      <c r="E10" s="255"/>
      <c r="F10" s="255"/>
    </row>
    <row r="11" spans="1:6">
      <c r="A11" s="255" t="s">
        <v>546</v>
      </c>
      <c r="B11" s="255"/>
      <c r="C11" s="255"/>
      <c r="D11" s="255"/>
      <c r="E11" s="255"/>
      <c r="F11" s="255"/>
    </row>
    <row r="12" spans="1:6">
      <c r="A12" s="255"/>
      <c r="B12" s="255"/>
      <c r="C12" s="255"/>
      <c r="D12" s="255"/>
      <c r="E12" s="255"/>
      <c r="F12" s="255"/>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codeName="Sheet373">
    <tabColor rgb="FFFFC000"/>
  </sheetPr>
  <dimension ref="A1:E13"/>
  <sheetViews>
    <sheetView workbookViewId="0">
      <selection activeCell="G28" sqref="G28"/>
    </sheetView>
  </sheetViews>
  <sheetFormatPr defaultRowHeight="13.8"/>
  <cols>
    <col min="1" max="1" width="11.6640625" bestFit="1" customWidth="1"/>
    <col min="2" max="2" width="11.6640625" customWidth="1"/>
    <col min="3" max="6" width="13.88671875" bestFit="1" customWidth="1"/>
  </cols>
  <sheetData>
    <row r="1" spans="1:5" ht="14.4">
      <c r="A1" s="19" t="s">
        <v>1680</v>
      </c>
      <c r="B1" s="19" t="s">
        <v>1685</v>
      </c>
      <c r="C1" s="20" t="s">
        <v>203</v>
      </c>
      <c r="D1" s="20" t="s">
        <v>265</v>
      </c>
      <c r="E1" s="20"/>
    </row>
    <row r="2" spans="1:5" ht="14.4">
      <c r="A2" s="268" t="s">
        <v>1681</v>
      </c>
      <c r="B2" s="268"/>
      <c r="C2" s="281"/>
      <c r="D2" s="280"/>
      <c r="E2" s="21"/>
    </row>
    <row r="3" spans="1:5" ht="14.4">
      <c r="A3" s="268"/>
      <c r="B3" s="268"/>
      <c r="C3" s="281"/>
      <c r="D3" s="280"/>
      <c r="E3" s="21"/>
    </row>
    <row r="4" spans="1:5" ht="14.4">
      <c r="A4" s="255" t="s">
        <v>546</v>
      </c>
      <c r="B4" s="255"/>
      <c r="C4" s="281"/>
      <c r="D4" s="280"/>
      <c r="E4" s="21"/>
    </row>
    <row r="5" spans="1:5" ht="14.4">
      <c r="A5" s="268" t="s">
        <v>1682</v>
      </c>
      <c r="B5" s="268"/>
      <c r="C5" s="281"/>
      <c r="D5" s="280"/>
      <c r="E5" s="21"/>
    </row>
    <row r="6" spans="1:5" ht="14.4">
      <c r="A6" s="268"/>
      <c r="B6" s="268"/>
      <c r="C6" s="281"/>
      <c r="D6" s="280"/>
      <c r="E6" s="21"/>
    </row>
    <row r="7" spans="1:5" ht="14.4">
      <c r="A7" s="255" t="s">
        <v>546</v>
      </c>
      <c r="B7" s="255"/>
      <c r="C7" s="281"/>
      <c r="D7" s="280"/>
      <c r="E7" s="21"/>
    </row>
    <row r="8" spans="1:5" ht="14.4">
      <c r="A8" s="268" t="s">
        <v>1683</v>
      </c>
      <c r="B8" s="268"/>
      <c r="C8" s="281"/>
      <c r="D8" s="280"/>
      <c r="E8" s="21"/>
    </row>
    <row r="9" spans="1:5" ht="14.4">
      <c r="A9" s="268"/>
      <c r="B9" s="268"/>
      <c r="C9" s="281"/>
      <c r="D9" s="280"/>
      <c r="E9" s="21"/>
    </row>
    <row r="10" spans="1:5" ht="14.4">
      <c r="A10" s="255" t="s">
        <v>546</v>
      </c>
      <c r="B10" s="255"/>
      <c r="C10" s="281"/>
      <c r="D10" s="280"/>
      <c r="E10" s="21"/>
    </row>
    <row r="11" spans="1:5">
      <c r="A11" s="255" t="s">
        <v>1684</v>
      </c>
      <c r="B11" s="255"/>
      <c r="C11" s="255"/>
      <c r="D11" s="255"/>
    </row>
    <row r="12" spans="1:5">
      <c r="A12" s="255"/>
      <c r="B12" s="255"/>
      <c r="C12" s="255"/>
      <c r="D12" s="255"/>
    </row>
    <row r="13" spans="1:5">
      <c r="A13" s="255" t="s">
        <v>546</v>
      </c>
      <c r="B13" s="255"/>
      <c r="C13" s="255"/>
      <c r="D13" s="255"/>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codeName="Sheet374">
    <tabColor rgb="FFFFC000"/>
  </sheetPr>
  <dimension ref="A1:D8"/>
  <sheetViews>
    <sheetView workbookViewId="0">
      <selection activeCell="L28" activeCellId="1" sqref="K31 L28"/>
    </sheetView>
  </sheetViews>
  <sheetFormatPr defaultRowHeight="13.8"/>
  <sheetData>
    <row r="1" spans="1:4">
      <c r="A1" t="s">
        <v>1808</v>
      </c>
      <c r="B1" t="s">
        <v>125</v>
      </c>
      <c r="C1" t="s">
        <v>199</v>
      </c>
      <c r="D1" t="s">
        <v>200</v>
      </c>
    </row>
    <row r="2" spans="1:4">
      <c r="A2" s="255"/>
      <c r="B2" s="255"/>
      <c r="C2" s="255"/>
      <c r="D2" s="255"/>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sheetData>
  <phoneticPr fontId="1"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codeName="Sheet375">
    <tabColor rgb="FFFF0000"/>
  </sheetPr>
  <dimension ref="A1:I5"/>
  <sheetViews>
    <sheetView workbookViewId="0">
      <selection activeCell="I10" sqref="I10"/>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1686</v>
      </c>
      <c r="B1" t="s">
        <v>1687</v>
      </c>
      <c r="C1" t="s">
        <v>4762</v>
      </c>
      <c r="D1" t="s">
        <v>3380</v>
      </c>
      <c r="E1" t="s">
        <v>1688</v>
      </c>
      <c r="F1" t="s">
        <v>171</v>
      </c>
      <c r="G1" t="s">
        <v>1689</v>
      </c>
      <c r="H1" t="s">
        <v>1690</v>
      </c>
      <c r="I1" t="s">
        <v>3381</v>
      </c>
    </row>
    <row r="2" spans="1:9">
      <c r="A2" s="255"/>
      <c r="B2" s="255"/>
      <c r="C2" s="255"/>
      <c r="D2" s="255"/>
      <c r="E2" s="255"/>
      <c r="F2" s="255"/>
      <c r="G2" s="255"/>
      <c r="H2" s="255"/>
      <c r="I2" s="255"/>
    </row>
    <row r="3" spans="1:9">
      <c r="A3" s="255"/>
      <c r="B3" s="255"/>
      <c r="C3" s="255"/>
      <c r="D3" s="255"/>
      <c r="E3" s="255"/>
      <c r="F3" s="255"/>
      <c r="G3" s="255"/>
      <c r="H3" s="255"/>
      <c r="I3" s="255"/>
    </row>
    <row r="4" spans="1:9">
      <c r="A4" s="255"/>
      <c r="B4" s="255"/>
      <c r="C4" s="255"/>
      <c r="D4" s="255"/>
      <c r="E4" s="255"/>
      <c r="F4" s="255"/>
      <c r="G4" s="255"/>
      <c r="H4" s="255"/>
      <c r="I4" s="255"/>
    </row>
    <row r="5" spans="1:9">
      <c r="A5" s="255"/>
      <c r="B5" s="255"/>
      <c r="C5" s="255"/>
      <c r="D5" s="255"/>
      <c r="E5" s="255"/>
      <c r="F5" s="255"/>
      <c r="G5" s="255"/>
      <c r="H5" s="255"/>
      <c r="I5" s="255"/>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codeName="Sheet376">
    <tabColor rgb="FFFFC000"/>
  </sheetPr>
  <dimension ref="A1:C12"/>
  <sheetViews>
    <sheetView workbookViewId="0">
      <selection activeCell="B27" sqref="B27"/>
    </sheetView>
  </sheetViews>
  <sheetFormatPr defaultRowHeight="13.8"/>
  <cols>
    <col min="1" max="1" width="58.88671875" bestFit="1" customWidth="1"/>
    <col min="2" max="3" width="8" bestFit="1" customWidth="1"/>
  </cols>
  <sheetData>
    <row r="1" spans="1:3" ht="14.4">
      <c r="A1" s="234" t="s">
        <v>28</v>
      </c>
      <c r="B1" s="235" t="s">
        <v>186</v>
      </c>
      <c r="C1" s="235" t="s">
        <v>186</v>
      </c>
    </row>
    <row r="2" spans="1:3" ht="14.4">
      <c r="A2" s="51" t="s">
        <v>1691</v>
      </c>
      <c r="B2" s="372"/>
      <c r="C2" s="372"/>
    </row>
    <row r="3" spans="1:3" ht="14.4">
      <c r="A3" s="51" t="s">
        <v>187</v>
      </c>
      <c r="B3" s="372"/>
      <c r="C3" s="372"/>
    </row>
    <row r="4" spans="1:3" ht="14.4">
      <c r="A4" s="51" t="s">
        <v>188</v>
      </c>
      <c r="B4" s="372"/>
      <c r="C4" s="372"/>
    </row>
    <row r="5" spans="1:3" ht="14.4">
      <c r="A5" s="51" t="s">
        <v>1692</v>
      </c>
      <c r="B5" s="372"/>
      <c r="C5" s="372"/>
    </row>
    <row r="6" spans="1:3" ht="14.4">
      <c r="A6" s="51" t="s">
        <v>1693</v>
      </c>
      <c r="B6" s="372"/>
      <c r="C6" s="372"/>
    </row>
    <row r="7" spans="1:3" ht="14.4">
      <c r="A7" s="51" t="s">
        <v>1694</v>
      </c>
      <c r="B7" s="372"/>
      <c r="C7" s="372"/>
    </row>
    <row r="8" spans="1:3" ht="14.4">
      <c r="A8" s="51" t="s">
        <v>1695</v>
      </c>
      <c r="B8" s="372"/>
      <c r="C8" s="372"/>
    </row>
    <row r="9" spans="1:3" ht="14.4">
      <c r="A9" s="51" t="s">
        <v>1696</v>
      </c>
      <c r="B9" s="372"/>
      <c r="C9" s="372"/>
    </row>
    <row r="10" spans="1:3" ht="14.4">
      <c r="A10" s="51" t="s">
        <v>1697</v>
      </c>
      <c r="B10" s="372"/>
      <c r="C10" s="372"/>
    </row>
    <row r="11" spans="1:3" ht="14.4">
      <c r="A11" s="51" t="s">
        <v>1698</v>
      </c>
      <c r="B11" s="372"/>
      <c r="C11" s="372"/>
    </row>
    <row r="12" spans="1:3" ht="14.4">
      <c r="A12" s="51" t="s">
        <v>1699</v>
      </c>
      <c r="B12" s="372"/>
      <c r="C12" s="372"/>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codeName="Sheet377">
    <tabColor rgb="FFFFC000"/>
  </sheetPr>
  <dimension ref="A1:G48"/>
  <sheetViews>
    <sheetView workbookViewId="0">
      <selection activeCell="J20" sqref="J20"/>
    </sheetView>
  </sheetViews>
  <sheetFormatPr defaultRowHeight="13.8"/>
  <cols>
    <col min="1" max="1" width="32.6640625" customWidth="1"/>
    <col min="2" max="7" width="9.5546875" bestFit="1" customWidth="1"/>
  </cols>
  <sheetData>
    <row r="1" spans="1:7" ht="43.2">
      <c r="A1" s="32" t="s">
        <v>3901</v>
      </c>
      <c r="B1" s="20" t="s">
        <v>1705</v>
      </c>
      <c r="C1" s="20" t="s">
        <v>1706</v>
      </c>
      <c r="D1" s="20" t="s">
        <v>1705</v>
      </c>
      <c r="E1" s="20" t="s">
        <v>1706</v>
      </c>
      <c r="F1" s="20" t="s">
        <v>1705</v>
      </c>
      <c r="G1" s="20" t="s">
        <v>1706</v>
      </c>
    </row>
    <row r="2" spans="1:7" ht="14.4">
      <c r="A2" s="32" t="s">
        <v>1700</v>
      </c>
      <c r="B2" s="280"/>
      <c r="C2" s="280"/>
      <c r="D2" s="280"/>
      <c r="E2" s="280"/>
      <c r="F2" s="280"/>
      <c r="G2" s="280"/>
    </row>
    <row r="3" spans="1:7" ht="14.4">
      <c r="A3" s="32" t="s">
        <v>0</v>
      </c>
      <c r="B3" s="280"/>
      <c r="C3" s="280"/>
      <c r="D3" s="280"/>
      <c r="E3" s="280"/>
      <c r="F3" s="280"/>
      <c r="G3" s="280"/>
    </row>
    <row r="4" spans="1:7" ht="14.4">
      <c r="A4" s="32" t="s">
        <v>2784</v>
      </c>
      <c r="B4" s="280"/>
      <c r="C4" s="280"/>
      <c r="D4" s="280"/>
      <c r="E4" s="280"/>
      <c r="F4" s="280"/>
      <c r="G4" s="280"/>
    </row>
    <row r="5" spans="1:7" ht="14.4">
      <c r="A5" s="32" t="s">
        <v>78</v>
      </c>
      <c r="B5" s="280"/>
      <c r="C5" s="280"/>
      <c r="D5" s="280"/>
      <c r="E5" s="280"/>
      <c r="F5" s="280"/>
      <c r="G5" s="280"/>
    </row>
    <row r="6" spans="1:7" ht="14.4">
      <c r="A6" s="32" t="s">
        <v>89</v>
      </c>
      <c r="B6" s="280"/>
      <c r="C6" s="280"/>
      <c r="D6" s="280"/>
      <c r="E6" s="280"/>
      <c r="F6" s="280"/>
      <c r="G6" s="280"/>
    </row>
    <row r="7" spans="1:7" ht="14.4">
      <c r="A7" s="32" t="s">
        <v>90</v>
      </c>
      <c r="B7" s="280"/>
      <c r="C7" s="280"/>
      <c r="D7" s="280"/>
      <c r="E7" s="280"/>
      <c r="F7" s="280"/>
      <c r="G7" s="280"/>
    </row>
    <row r="8" spans="1:7" ht="14.4">
      <c r="A8" s="32" t="s">
        <v>13</v>
      </c>
      <c r="B8" s="280"/>
      <c r="C8" s="280"/>
      <c r="D8" s="280"/>
      <c r="E8" s="280"/>
      <c r="F8" s="280"/>
      <c r="G8" s="280"/>
    </row>
    <row r="9" spans="1:7" ht="14.4">
      <c r="A9" s="32" t="s">
        <v>1701</v>
      </c>
      <c r="B9" s="280"/>
      <c r="C9" s="280"/>
      <c r="D9" s="280"/>
      <c r="E9" s="280"/>
      <c r="F9" s="280"/>
      <c r="G9" s="280"/>
    </row>
    <row r="10" spans="1:7" ht="14.4">
      <c r="A10" s="32" t="s">
        <v>2786</v>
      </c>
      <c r="B10" s="280"/>
      <c r="C10" s="280"/>
      <c r="D10" s="280"/>
      <c r="E10" s="280"/>
      <c r="F10" s="280"/>
      <c r="G10" s="280"/>
    </row>
    <row r="11" spans="1:7" ht="14.4">
      <c r="A11" s="32" t="s">
        <v>2787</v>
      </c>
      <c r="B11" s="280"/>
      <c r="C11" s="280"/>
      <c r="D11" s="280"/>
      <c r="E11" s="280"/>
      <c r="F11" s="280"/>
      <c r="G11" s="280"/>
    </row>
    <row r="12" spans="1:7" ht="14.4">
      <c r="A12" s="32" t="s">
        <v>757</v>
      </c>
      <c r="B12" s="280"/>
      <c r="C12" s="280"/>
      <c r="D12" s="280"/>
      <c r="E12" s="280"/>
      <c r="F12" s="280"/>
      <c r="G12" s="280"/>
    </row>
    <row r="13" spans="1:7" ht="14.4">
      <c r="A13" s="32" t="s">
        <v>13</v>
      </c>
      <c r="B13" s="280"/>
      <c r="C13" s="280"/>
      <c r="D13" s="280"/>
      <c r="E13" s="280"/>
      <c r="F13" s="280"/>
      <c r="G13" s="280"/>
    </row>
    <row r="14" spans="1:7" ht="14.4">
      <c r="A14" s="32" t="s">
        <v>1702</v>
      </c>
      <c r="B14" s="280"/>
      <c r="C14" s="280"/>
      <c r="D14" s="280"/>
      <c r="E14" s="280"/>
      <c r="F14" s="280"/>
      <c r="G14" s="280"/>
    </row>
    <row r="15" spans="1:7" ht="14.4">
      <c r="A15" s="32" t="s">
        <v>1703</v>
      </c>
      <c r="B15" s="280"/>
      <c r="C15" s="280"/>
      <c r="D15" s="280"/>
      <c r="E15" s="280"/>
      <c r="F15" s="280"/>
      <c r="G15" s="280"/>
    </row>
    <row r="16" spans="1:7" ht="14.4">
      <c r="A16" s="32" t="s">
        <v>1704</v>
      </c>
      <c r="B16" s="280"/>
      <c r="C16" s="280"/>
      <c r="D16" s="280"/>
      <c r="E16" s="280"/>
      <c r="F16" s="280"/>
      <c r="G16" s="280"/>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codeName="Sheet378">
    <tabColor rgb="FFFFC000"/>
  </sheetPr>
  <dimension ref="A1:I6"/>
  <sheetViews>
    <sheetView workbookViewId="0">
      <selection activeCell="G1" sqref="G1"/>
    </sheetView>
  </sheetViews>
  <sheetFormatPr defaultRowHeight="13.8"/>
  <sheetData>
    <row r="1" spans="1:9" ht="72">
      <c r="A1" s="20" t="s">
        <v>1707</v>
      </c>
      <c r="B1" s="20" t="s">
        <v>1708</v>
      </c>
      <c r="C1" s="20" t="s">
        <v>1709</v>
      </c>
      <c r="D1" s="20" t="s">
        <v>164</v>
      </c>
      <c r="E1" s="20" t="s">
        <v>1710</v>
      </c>
      <c r="F1" s="20" t="s">
        <v>4763</v>
      </c>
      <c r="G1" s="20" t="s">
        <v>4764</v>
      </c>
      <c r="H1" s="20" t="s">
        <v>1711</v>
      </c>
      <c r="I1" s="20" t="s">
        <v>1712</v>
      </c>
    </row>
    <row r="2" spans="1:9">
      <c r="A2" s="302"/>
      <c r="B2" s="282"/>
      <c r="C2" s="282"/>
      <c r="D2" s="282"/>
      <c r="E2" s="282"/>
      <c r="F2" s="282"/>
      <c r="G2" s="282"/>
      <c r="H2" s="282"/>
      <c r="I2" s="282"/>
    </row>
    <row r="3" spans="1:9">
      <c r="A3" s="302"/>
      <c r="B3" s="282"/>
      <c r="C3" s="282"/>
      <c r="D3" s="282"/>
      <c r="E3" s="282"/>
      <c r="F3" s="282"/>
      <c r="G3" s="282"/>
      <c r="H3" s="282"/>
      <c r="I3" s="282"/>
    </row>
    <row r="4" spans="1:9">
      <c r="A4" s="255"/>
      <c r="B4" s="255"/>
      <c r="C4" s="255"/>
      <c r="D4" s="255"/>
      <c r="E4" s="255"/>
      <c r="F4" s="255"/>
      <c r="G4" s="255"/>
      <c r="H4" s="255"/>
      <c r="I4" s="255"/>
    </row>
    <row r="5" spans="1:9">
      <c r="A5" s="255"/>
      <c r="B5" s="255"/>
      <c r="C5" s="255"/>
      <c r="D5" s="255"/>
      <c r="E5" s="255"/>
      <c r="F5" s="255"/>
      <c r="G5" s="255"/>
      <c r="H5" s="255"/>
      <c r="I5" s="255"/>
    </row>
    <row r="6" spans="1:9">
      <c r="A6" s="255"/>
      <c r="B6" s="255"/>
      <c r="C6" s="255"/>
      <c r="D6" s="255"/>
      <c r="E6" s="255"/>
      <c r="F6" s="255"/>
      <c r="G6" s="255"/>
      <c r="H6" s="255"/>
      <c r="I6" s="255"/>
    </row>
  </sheetData>
  <phoneticPr fontId="1" type="noConversion"/>
  <pageMargins left="0.7" right="0.7" top="0.75" bottom="0.75" header="0.3" footer="0.3"/>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codeName="Sheet379">
    <tabColor rgb="FFFFC000"/>
  </sheetPr>
  <dimension ref="A1:D7"/>
  <sheetViews>
    <sheetView workbookViewId="0">
      <selection activeCell="F23" sqref="F23"/>
    </sheetView>
  </sheetViews>
  <sheetFormatPr defaultRowHeight="13.8"/>
  <cols>
    <col min="1" max="1" width="31.6640625" bestFit="1" customWidth="1"/>
    <col min="2" max="2" width="13.21875" customWidth="1"/>
    <col min="3" max="3" width="10.88671875" customWidth="1"/>
    <col min="4" max="4" width="6.77734375" customWidth="1"/>
  </cols>
  <sheetData>
    <row r="1" spans="1:4">
      <c r="A1" t="s">
        <v>28</v>
      </c>
      <c r="B1" t="s">
        <v>722</v>
      </c>
      <c r="C1" t="s">
        <v>722</v>
      </c>
      <c r="D1" t="s">
        <v>13</v>
      </c>
    </row>
    <row r="2" spans="1:4">
      <c r="A2" t="s">
        <v>1691</v>
      </c>
      <c r="B2" s="255"/>
      <c r="C2" s="255"/>
      <c r="D2" s="255"/>
    </row>
    <row r="3" spans="1:4">
      <c r="A3" t="s">
        <v>3266</v>
      </c>
      <c r="B3" s="255"/>
      <c r="C3" s="255"/>
      <c r="D3" s="255"/>
    </row>
    <row r="4" spans="1:4">
      <c r="A4" t="s">
        <v>3270</v>
      </c>
      <c r="B4" s="255"/>
      <c r="C4" s="255"/>
      <c r="D4" s="255"/>
    </row>
    <row r="5" spans="1:4">
      <c r="A5" t="s">
        <v>3271</v>
      </c>
      <c r="B5" s="255"/>
      <c r="C5" s="255"/>
      <c r="D5" s="255"/>
    </row>
    <row r="6" spans="1:4">
      <c r="A6" t="s">
        <v>3272</v>
      </c>
      <c r="B6" s="255"/>
      <c r="C6" s="255"/>
      <c r="D6" s="255"/>
    </row>
    <row r="7" spans="1:4">
      <c r="A7" t="s">
        <v>3273</v>
      </c>
      <c r="B7" s="255"/>
      <c r="C7" s="255"/>
      <c r="D7" s="255"/>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codeName="Sheet380">
    <tabColor rgb="FFFFC000"/>
  </sheetPr>
  <dimension ref="A1:G15"/>
  <sheetViews>
    <sheetView workbookViewId="0">
      <selection activeCell="G21" sqref="G21"/>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70" t="s">
        <v>28</v>
      </c>
      <c r="B1" s="371" t="s">
        <v>2788</v>
      </c>
      <c r="C1" s="371" t="s">
        <v>2789</v>
      </c>
      <c r="D1" s="371" t="s">
        <v>2788</v>
      </c>
      <c r="E1" s="371" t="s">
        <v>2789</v>
      </c>
      <c r="F1" s="80"/>
      <c r="G1" s="80"/>
    </row>
    <row r="2" spans="1:7" ht="14.4">
      <c r="A2" s="44" t="s">
        <v>254</v>
      </c>
      <c r="B2" s="54"/>
      <c r="C2" s="54"/>
      <c r="D2" s="54"/>
      <c r="E2" s="54"/>
      <c r="F2" s="54"/>
      <c r="G2" s="54"/>
    </row>
    <row r="3" spans="1:7" ht="14.4">
      <c r="A3" s="44" t="s">
        <v>0</v>
      </c>
      <c r="B3" s="42"/>
      <c r="C3" s="42"/>
      <c r="D3" s="42"/>
      <c r="E3" s="42"/>
      <c r="F3" s="42"/>
      <c r="G3" s="42"/>
    </row>
    <row r="4" spans="1:7" ht="14.4">
      <c r="A4" s="44" t="s">
        <v>2784</v>
      </c>
      <c r="B4" s="42"/>
      <c r="C4" s="42"/>
      <c r="D4" s="42"/>
      <c r="E4" s="42"/>
      <c r="F4" s="42"/>
      <c r="G4" s="42"/>
    </row>
    <row r="5" spans="1:7" ht="14.4">
      <c r="A5" s="44" t="s">
        <v>78</v>
      </c>
      <c r="B5" s="42"/>
      <c r="C5" s="42"/>
      <c r="D5" s="42"/>
      <c r="E5" s="42"/>
      <c r="F5" s="42"/>
      <c r="G5" s="42"/>
    </row>
    <row r="6" spans="1:7" ht="14.4">
      <c r="A6" s="44" t="s">
        <v>89</v>
      </c>
      <c r="B6" s="42"/>
      <c r="C6" s="42"/>
      <c r="D6" s="42"/>
      <c r="E6" s="42"/>
      <c r="F6" s="42"/>
      <c r="G6" s="42"/>
    </row>
    <row r="7" spans="1:7" ht="14.4">
      <c r="A7" s="44" t="s">
        <v>90</v>
      </c>
      <c r="B7" s="42"/>
      <c r="C7" s="42"/>
      <c r="D7" s="42"/>
      <c r="E7" s="42"/>
      <c r="F7" s="42"/>
      <c r="G7" s="42"/>
    </row>
    <row r="8" spans="1:7">
      <c r="A8" s="46" t="s">
        <v>2785</v>
      </c>
      <c r="B8" s="42"/>
      <c r="C8" s="42"/>
      <c r="D8" s="42"/>
      <c r="E8" s="42"/>
      <c r="F8" s="42"/>
      <c r="G8" s="42"/>
    </row>
    <row r="9" spans="1:7" ht="14.4">
      <c r="A9" s="44" t="s">
        <v>256</v>
      </c>
      <c r="B9" s="42"/>
      <c r="C9" s="42"/>
      <c r="D9" s="42"/>
      <c r="E9" s="42"/>
      <c r="F9" s="42"/>
      <c r="G9" s="42"/>
    </row>
    <row r="10" spans="1:7" ht="14.4">
      <c r="A10" s="44" t="s">
        <v>2786</v>
      </c>
      <c r="B10" s="42"/>
      <c r="C10" s="42"/>
      <c r="D10" s="42"/>
      <c r="E10" s="42"/>
      <c r="F10" s="42"/>
      <c r="G10" s="42"/>
    </row>
    <row r="11" spans="1:7" ht="14.4">
      <c r="A11" s="44" t="s">
        <v>2787</v>
      </c>
      <c r="B11" s="42"/>
      <c r="C11" s="42"/>
      <c r="D11" s="42"/>
      <c r="E11" s="42"/>
      <c r="F11" s="42"/>
      <c r="G11" s="42"/>
    </row>
    <row r="12" spans="1:7">
      <c r="A12" s="46" t="s">
        <v>13</v>
      </c>
      <c r="B12" s="42"/>
      <c r="C12" s="42"/>
      <c r="D12" s="42"/>
      <c r="E12" s="42"/>
      <c r="F12" s="42"/>
      <c r="G12" s="42"/>
    </row>
    <row r="13" spans="1:7" ht="14.4">
      <c r="A13" s="44" t="s">
        <v>1702</v>
      </c>
      <c r="B13" s="42"/>
      <c r="C13" s="42"/>
      <c r="D13" s="42"/>
      <c r="E13" s="42"/>
      <c r="F13" s="42"/>
      <c r="G13" s="42"/>
    </row>
    <row r="14" spans="1:7" ht="14.4">
      <c r="A14" s="44" t="s">
        <v>1703</v>
      </c>
      <c r="B14" s="42"/>
      <c r="C14" s="42"/>
      <c r="D14" s="42"/>
      <c r="E14" s="42"/>
      <c r="F14" s="42"/>
      <c r="G14" s="42"/>
    </row>
    <row r="15" spans="1:7" ht="14.4">
      <c r="A15" s="44" t="s">
        <v>1704</v>
      </c>
      <c r="B15" s="42"/>
      <c r="C15" s="42"/>
      <c r="D15" s="42"/>
      <c r="E15" s="42"/>
      <c r="F15" s="42"/>
      <c r="G15" s="42"/>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codeName="Sheet381">
    <tabColor rgb="FFFFC000"/>
  </sheetPr>
  <dimension ref="A1:N7"/>
  <sheetViews>
    <sheetView workbookViewId="0">
      <selection activeCell="L6" sqref="L6"/>
    </sheetView>
  </sheetViews>
  <sheetFormatPr defaultRowHeight="13.8"/>
  <cols>
    <col min="1" max="14" width="8.88671875" style="236"/>
  </cols>
  <sheetData>
    <row r="1" spans="1:13" ht="110.4">
      <c r="A1" s="236" t="s">
        <v>1713</v>
      </c>
      <c r="B1" s="236" t="s">
        <v>1714</v>
      </c>
      <c r="C1" s="236" t="s">
        <v>1715</v>
      </c>
      <c r="D1" s="236" t="s">
        <v>1716</v>
      </c>
      <c r="E1" s="236" t="s">
        <v>1717</v>
      </c>
      <c r="F1" s="236" t="s">
        <v>1718</v>
      </c>
      <c r="G1" s="236" t="s">
        <v>1719</v>
      </c>
      <c r="H1" s="236" t="s">
        <v>1720</v>
      </c>
      <c r="I1" s="236" t="s">
        <v>4765</v>
      </c>
      <c r="J1" s="236" t="s">
        <v>1721</v>
      </c>
      <c r="K1" s="236" t="s">
        <v>1722</v>
      </c>
      <c r="L1" s="236" t="s">
        <v>1723</v>
      </c>
      <c r="M1" s="236" t="s">
        <v>1724</v>
      </c>
    </row>
    <row r="2" spans="1:13">
      <c r="A2" s="369"/>
      <c r="B2" s="369"/>
      <c r="C2" s="369"/>
      <c r="D2" s="369"/>
      <c r="E2" s="369"/>
      <c r="F2" s="369"/>
      <c r="G2" s="369"/>
      <c r="H2" s="369"/>
      <c r="I2" s="369"/>
      <c r="J2" s="369"/>
      <c r="K2" s="369"/>
      <c r="L2" s="369"/>
      <c r="M2" s="369"/>
    </row>
    <row r="3" spans="1:13">
      <c r="A3" s="369"/>
      <c r="B3" s="369"/>
      <c r="C3" s="369"/>
      <c r="D3" s="369"/>
      <c r="E3" s="369"/>
      <c r="F3" s="369"/>
      <c r="G3" s="369"/>
      <c r="H3" s="369"/>
      <c r="I3" s="369"/>
      <c r="J3" s="369"/>
      <c r="K3" s="369"/>
      <c r="L3" s="369"/>
      <c r="M3" s="369"/>
    </row>
    <row r="4" spans="1:13">
      <c r="A4" s="369"/>
      <c r="B4" s="369"/>
      <c r="C4" s="369"/>
      <c r="D4" s="369"/>
      <c r="E4" s="369"/>
      <c r="F4" s="369"/>
      <c r="G4" s="369"/>
      <c r="H4" s="369"/>
      <c r="I4" s="369"/>
      <c r="J4" s="369"/>
      <c r="K4" s="369"/>
      <c r="L4" s="369"/>
      <c r="M4" s="369"/>
    </row>
    <row r="5" spans="1:13">
      <c r="A5" s="369"/>
      <c r="B5" s="369"/>
      <c r="C5" s="369"/>
      <c r="D5" s="369"/>
      <c r="E5" s="369"/>
      <c r="F5" s="369"/>
      <c r="G5" s="369"/>
      <c r="H5" s="369"/>
      <c r="I5" s="369"/>
      <c r="J5" s="369"/>
      <c r="K5" s="369"/>
      <c r="L5" s="369"/>
      <c r="M5" s="369"/>
    </row>
    <row r="6" spans="1:13">
      <c r="A6" s="369"/>
      <c r="B6" s="369"/>
      <c r="C6" s="369"/>
      <c r="D6" s="369"/>
      <c r="E6" s="369"/>
      <c r="F6" s="369"/>
      <c r="G6" s="369"/>
      <c r="H6" s="369"/>
      <c r="I6" s="369"/>
      <c r="J6" s="369"/>
      <c r="K6" s="369"/>
      <c r="L6" s="369"/>
      <c r="M6" s="369"/>
    </row>
    <row r="7" spans="1:13">
      <c r="A7" s="369"/>
      <c r="B7" s="369"/>
      <c r="C7" s="369"/>
      <c r="D7" s="369"/>
      <c r="E7" s="369"/>
      <c r="F7" s="369"/>
      <c r="G7" s="369"/>
      <c r="H7" s="369"/>
      <c r="I7" s="369"/>
      <c r="J7" s="369"/>
      <c r="K7" s="369"/>
      <c r="L7" s="369"/>
      <c r="M7" s="369"/>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sheetPr codeName="Sheet36">
    <tabColor rgb="FFFFC000"/>
  </sheetPr>
  <dimension ref="A1:D6"/>
  <sheetViews>
    <sheetView workbookViewId="0">
      <selection activeCell="G27" sqref="G27"/>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28</v>
      </c>
      <c r="B1" s="20" t="s">
        <v>73</v>
      </c>
      <c r="C1" s="20" t="s">
        <v>71</v>
      </c>
      <c r="D1" s="20" t="s">
        <v>69</v>
      </c>
    </row>
    <row r="2" spans="1:4" ht="14.4">
      <c r="A2" s="83" t="s">
        <v>76</v>
      </c>
      <c r="B2" s="81"/>
      <c r="C2" s="81"/>
      <c r="D2" s="81"/>
    </row>
    <row r="3" spans="1:4" ht="28.8">
      <c r="A3" s="55" t="s">
        <v>67</v>
      </c>
      <c r="B3" s="81"/>
      <c r="C3" s="81"/>
      <c r="D3" s="81"/>
    </row>
    <row r="4" spans="1:4" ht="14.4">
      <c r="A4" s="55" t="s">
        <v>68</v>
      </c>
      <c r="B4" s="81"/>
      <c r="C4" s="81"/>
      <c r="D4" s="81"/>
    </row>
    <row r="5" spans="1:4">
      <c r="A5" s="55" t="s">
        <v>13</v>
      </c>
      <c r="B5" s="81"/>
      <c r="C5" s="81"/>
      <c r="D5" s="81"/>
    </row>
    <row r="6" spans="1:4" ht="14.4">
      <c r="A6" s="83" t="s">
        <v>75</v>
      </c>
      <c r="B6" s="81"/>
      <c r="C6" s="81"/>
      <c r="D6" s="81"/>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codeName="Sheet382">
    <tabColor rgb="FFFFC000"/>
  </sheetPr>
  <dimension ref="A1:O5"/>
  <sheetViews>
    <sheetView workbookViewId="0">
      <selection activeCell="J1" sqref="J1"/>
    </sheetView>
  </sheetViews>
  <sheetFormatPr defaultRowHeight="13.8"/>
  <sheetData>
    <row r="1" spans="1:15" ht="172.8">
      <c r="A1" s="20" t="s">
        <v>1713</v>
      </c>
      <c r="B1" s="20" t="s">
        <v>1725</v>
      </c>
      <c r="C1" s="20" t="s">
        <v>1714</v>
      </c>
      <c r="D1" s="20" t="s">
        <v>1715</v>
      </c>
      <c r="E1" s="20" t="s">
        <v>1716</v>
      </c>
      <c r="F1" s="20" t="s">
        <v>1726</v>
      </c>
      <c r="G1" s="20" t="s">
        <v>1717</v>
      </c>
      <c r="H1" s="20" t="s">
        <v>1718</v>
      </c>
      <c r="I1" s="20" t="s">
        <v>1720</v>
      </c>
      <c r="J1" s="20" t="s">
        <v>4765</v>
      </c>
      <c r="K1" s="20" t="s">
        <v>1721</v>
      </c>
      <c r="L1" s="20" t="s">
        <v>1722</v>
      </c>
      <c r="M1" s="20" t="s">
        <v>1723</v>
      </c>
      <c r="N1" s="20" t="s">
        <v>1724</v>
      </c>
      <c r="O1" s="20" t="s">
        <v>1727</v>
      </c>
    </row>
    <row r="2" spans="1:15">
      <c r="A2" s="302"/>
      <c r="B2" s="282"/>
      <c r="C2" s="282"/>
      <c r="D2" s="282"/>
      <c r="E2" s="282"/>
      <c r="F2" s="282"/>
      <c r="G2" s="282"/>
      <c r="H2" s="282"/>
      <c r="I2" s="282"/>
      <c r="J2" s="282"/>
      <c r="K2" s="282"/>
      <c r="L2" s="282"/>
      <c r="M2" s="282"/>
      <c r="N2" s="282"/>
      <c r="O2" s="282"/>
    </row>
    <row r="3" spans="1:15">
      <c r="A3" s="302"/>
      <c r="B3" s="282"/>
      <c r="C3" s="282"/>
      <c r="D3" s="282"/>
      <c r="E3" s="282"/>
      <c r="F3" s="282"/>
      <c r="G3" s="282"/>
      <c r="H3" s="282"/>
      <c r="I3" s="282"/>
      <c r="J3" s="282"/>
      <c r="K3" s="282"/>
      <c r="L3" s="282"/>
      <c r="M3" s="282"/>
      <c r="N3" s="282"/>
      <c r="O3" s="282"/>
    </row>
    <row r="4" spans="1:15">
      <c r="A4" s="255"/>
      <c r="B4" s="255"/>
      <c r="C4" s="255"/>
      <c r="D4" s="255"/>
      <c r="E4" s="255"/>
      <c r="F4" s="255"/>
      <c r="G4" s="255"/>
      <c r="H4" s="255"/>
      <c r="I4" s="255"/>
      <c r="J4" s="255"/>
      <c r="K4" s="255"/>
      <c r="L4" s="255"/>
      <c r="M4" s="255"/>
      <c r="N4" s="255"/>
      <c r="O4" s="255"/>
    </row>
    <row r="5" spans="1:15">
      <c r="A5" s="255"/>
      <c r="B5" s="255"/>
      <c r="C5" s="255"/>
      <c r="D5" s="255"/>
      <c r="E5" s="255"/>
      <c r="F5" s="255"/>
      <c r="G5" s="255"/>
      <c r="H5" s="255"/>
      <c r="I5" s="255"/>
      <c r="J5" s="255"/>
      <c r="K5" s="255"/>
      <c r="L5" s="255"/>
      <c r="M5" s="255"/>
      <c r="N5" s="255"/>
      <c r="O5" s="255"/>
    </row>
  </sheetData>
  <phoneticPr fontId="1" type="noConversion"/>
  <pageMargins left="0.7" right="0.7" top="0.75" bottom="0.75" header="0.3" footer="0.3"/>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codeName="Sheet383">
    <tabColor rgb="FFFFC000"/>
  </sheetPr>
  <dimension ref="A1:N5"/>
  <sheetViews>
    <sheetView workbookViewId="0">
      <selection activeCell="J1" sqref="J1"/>
    </sheetView>
  </sheetViews>
  <sheetFormatPr defaultRowHeight="13.8"/>
  <sheetData>
    <row r="1" spans="1:14" ht="129.6">
      <c r="A1" s="20" t="s">
        <v>1713</v>
      </c>
      <c r="B1" s="20" t="s">
        <v>1725</v>
      </c>
      <c r="C1" s="20" t="s">
        <v>1714</v>
      </c>
      <c r="D1" s="20" t="s">
        <v>1715</v>
      </c>
      <c r="E1" s="20" t="s">
        <v>1716</v>
      </c>
      <c r="F1" s="20" t="s">
        <v>1726</v>
      </c>
      <c r="G1" s="20" t="s">
        <v>1717</v>
      </c>
      <c r="H1" s="20" t="s">
        <v>1718</v>
      </c>
      <c r="I1" s="20" t="s">
        <v>1720</v>
      </c>
      <c r="J1" s="20" t="s">
        <v>4765</v>
      </c>
      <c r="K1" s="20" t="s">
        <v>1721</v>
      </c>
      <c r="L1" s="20" t="s">
        <v>1722</v>
      </c>
      <c r="M1" s="20" t="s">
        <v>1723</v>
      </c>
      <c r="N1" s="20" t="s">
        <v>1724</v>
      </c>
    </row>
    <row r="2" spans="1:14">
      <c r="A2" s="302"/>
      <c r="B2" s="282"/>
      <c r="C2" s="282"/>
      <c r="D2" s="282"/>
      <c r="E2" s="282"/>
      <c r="F2" s="282"/>
      <c r="G2" s="282"/>
      <c r="H2" s="282"/>
      <c r="I2" s="282"/>
      <c r="J2" s="282"/>
      <c r="K2" s="282"/>
      <c r="L2" s="282"/>
      <c r="M2" s="282"/>
      <c r="N2" s="282"/>
    </row>
    <row r="3" spans="1:14">
      <c r="A3" s="302"/>
      <c r="B3" s="282"/>
      <c r="C3" s="282"/>
      <c r="D3" s="282"/>
      <c r="E3" s="282"/>
      <c r="F3" s="282"/>
      <c r="G3" s="282"/>
      <c r="H3" s="282"/>
      <c r="I3" s="282"/>
      <c r="J3" s="282"/>
      <c r="K3" s="282"/>
      <c r="L3" s="282"/>
      <c r="M3" s="282"/>
      <c r="N3" s="282"/>
    </row>
    <row r="4" spans="1:14">
      <c r="A4" s="255"/>
      <c r="B4" s="255"/>
      <c r="C4" s="255"/>
      <c r="D4" s="255"/>
      <c r="E4" s="255"/>
      <c r="F4" s="255"/>
      <c r="G4" s="255"/>
      <c r="H4" s="255"/>
      <c r="I4" s="255"/>
      <c r="J4" s="255"/>
      <c r="K4" s="255"/>
      <c r="L4" s="255"/>
      <c r="M4" s="255"/>
      <c r="N4" s="255"/>
    </row>
    <row r="5" spans="1:14">
      <c r="A5" s="255"/>
      <c r="B5" s="255"/>
      <c r="C5" s="255"/>
      <c r="D5" s="255"/>
      <c r="E5" s="255"/>
      <c r="F5" s="255"/>
      <c r="G5" s="255"/>
      <c r="H5" s="255"/>
      <c r="I5" s="255"/>
      <c r="J5" s="255"/>
      <c r="K5" s="255"/>
      <c r="L5" s="255"/>
      <c r="M5" s="255"/>
      <c r="N5" s="255"/>
    </row>
  </sheetData>
  <phoneticPr fontId="1" type="noConversion"/>
  <pageMargins left="0.7" right="0.7" top="0.75" bottom="0.75" header="0.3" footer="0.3"/>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codeName="Sheet384">
    <tabColor rgb="FFFFC000"/>
  </sheetPr>
  <dimension ref="A1:E5"/>
  <sheetViews>
    <sheetView workbookViewId="0">
      <selection activeCell="M26" sqref="M26"/>
    </sheetView>
  </sheetViews>
  <sheetFormatPr defaultRowHeight="13.8"/>
  <sheetData>
    <row r="1" spans="1:5" ht="28.8">
      <c r="A1" s="19" t="s">
        <v>170</v>
      </c>
      <c r="B1" s="20" t="s">
        <v>1688</v>
      </c>
      <c r="C1" s="20" t="s">
        <v>1687</v>
      </c>
      <c r="D1" s="20" t="s">
        <v>3382</v>
      </c>
      <c r="E1" s="20" t="s">
        <v>1728</v>
      </c>
    </row>
    <row r="2" spans="1:5" ht="14.4">
      <c r="A2" s="268"/>
      <c r="B2" s="268" t="s">
        <v>1730</v>
      </c>
      <c r="C2" s="268"/>
      <c r="D2" s="268"/>
      <c r="E2" s="268"/>
    </row>
    <row r="3" spans="1:5" ht="14.4">
      <c r="A3" s="268"/>
      <c r="B3" s="268"/>
      <c r="C3" s="268"/>
      <c r="D3" s="268"/>
      <c r="E3" s="268"/>
    </row>
    <row r="4" spans="1:5">
      <c r="A4" s="255"/>
      <c r="B4" s="255"/>
      <c r="C4" s="255"/>
      <c r="D4" s="255"/>
      <c r="E4" s="255"/>
    </row>
    <row r="5" spans="1:5">
      <c r="A5" s="255"/>
      <c r="B5" s="255"/>
      <c r="C5" s="255"/>
      <c r="D5" s="255"/>
      <c r="E5" s="255"/>
    </row>
  </sheetData>
  <phoneticPr fontId="1"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codeName="Sheet385">
    <tabColor rgb="FFFFC000"/>
  </sheetPr>
  <dimension ref="A1:E7"/>
  <sheetViews>
    <sheetView workbookViewId="0">
      <selection activeCell="J16" sqref="J16"/>
    </sheetView>
  </sheetViews>
  <sheetFormatPr defaultRowHeight="13.8"/>
  <sheetData>
    <row r="1" spans="1:5" ht="43.2">
      <c r="A1" s="32" t="s">
        <v>170</v>
      </c>
      <c r="B1" s="32" t="s">
        <v>1716</v>
      </c>
      <c r="C1" s="32" t="s">
        <v>1725</v>
      </c>
      <c r="D1" s="32" t="s">
        <v>3383</v>
      </c>
      <c r="E1" s="20" t="s">
        <v>1729</v>
      </c>
    </row>
    <row r="2" spans="1:5" ht="14.4">
      <c r="A2" s="306"/>
      <c r="B2" s="306"/>
      <c r="C2" s="306"/>
      <c r="D2" s="306"/>
      <c r="E2" s="269"/>
    </row>
    <row r="3" spans="1:5" ht="14.4">
      <c r="A3" s="268"/>
      <c r="B3" s="268"/>
      <c r="C3" s="268"/>
      <c r="D3" s="268"/>
      <c r="E3" s="268"/>
    </row>
    <row r="4" spans="1:5" ht="14.4">
      <c r="A4" s="268"/>
      <c r="B4" s="268"/>
      <c r="C4" s="268"/>
      <c r="D4" s="268"/>
      <c r="E4" s="268"/>
    </row>
    <row r="5" spans="1:5">
      <c r="A5" s="255"/>
      <c r="B5" s="255"/>
      <c r="C5" s="255"/>
      <c r="D5" s="255"/>
      <c r="E5" s="255"/>
    </row>
    <row r="6" spans="1:5">
      <c r="A6" s="255"/>
      <c r="B6" s="255"/>
      <c r="C6" s="255"/>
      <c r="D6" s="255"/>
      <c r="E6" s="255"/>
    </row>
    <row r="7" spans="1:5">
      <c r="A7" s="255"/>
      <c r="B7" s="255"/>
      <c r="C7" s="255"/>
      <c r="D7" s="255"/>
      <c r="E7" s="255"/>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codeName="Sheet386">
    <tabColor rgb="FFFF0000"/>
  </sheetPr>
  <dimension ref="A1:G5"/>
  <sheetViews>
    <sheetView workbookViewId="0">
      <selection activeCell="L26" sqref="L26"/>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1713</v>
      </c>
      <c r="B1" t="s">
        <v>114</v>
      </c>
      <c r="C1" t="s">
        <v>113</v>
      </c>
      <c r="D1" t="s">
        <v>115</v>
      </c>
      <c r="E1" t="s">
        <v>1732</v>
      </c>
      <c r="F1" t="s">
        <v>1733</v>
      </c>
      <c r="G1" t="s">
        <v>1731</v>
      </c>
    </row>
    <row r="2" spans="1:7">
      <c r="A2" s="255"/>
      <c r="B2" s="255"/>
      <c r="C2" s="255"/>
      <c r="D2" s="255"/>
      <c r="E2" s="255"/>
      <c r="F2" s="255"/>
      <c r="G2" s="255"/>
    </row>
    <row r="3" spans="1:7">
      <c r="A3" s="255"/>
      <c r="B3" s="255"/>
      <c r="C3" s="255"/>
      <c r="D3" s="255"/>
      <c r="E3" s="255"/>
      <c r="F3" s="255"/>
      <c r="G3" s="255"/>
    </row>
    <row r="4" spans="1:7">
      <c r="A4" s="255"/>
      <c r="B4" s="255"/>
      <c r="C4" s="255"/>
      <c r="D4" s="255"/>
      <c r="E4" s="255"/>
      <c r="F4" s="255"/>
      <c r="G4" s="255"/>
    </row>
    <row r="5" spans="1:7">
      <c r="A5" s="255"/>
      <c r="B5" s="255"/>
      <c r="C5" s="255"/>
      <c r="D5" s="255"/>
      <c r="E5" s="255"/>
      <c r="F5" s="255"/>
      <c r="G5" s="255"/>
    </row>
  </sheetData>
  <phoneticPr fontId="1" type="noConversion"/>
  <pageMargins left="0.7" right="0.7" top="0.75" bottom="0.75" header="0.3" footer="0.3"/>
  <pageSetup paperSize="9" orientation="portrait" verticalDpi="0" r:id="rId1"/>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codeName="Sheet387">
    <tabColor rgb="FFFFC000"/>
  </sheetPr>
  <dimension ref="A1:E8"/>
  <sheetViews>
    <sheetView workbookViewId="0">
      <selection activeCell="H20" sqref="H20"/>
    </sheetView>
  </sheetViews>
  <sheetFormatPr defaultRowHeight="13.8"/>
  <sheetData>
    <row r="1" spans="1:5" ht="43.2">
      <c r="A1" s="20" t="s">
        <v>1713</v>
      </c>
      <c r="B1" s="20" t="s">
        <v>1734</v>
      </c>
      <c r="C1" s="20" t="s">
        <v>1735</v>
      </c>
      <c r="D1" s="20" t="s">
        <v>1736</v>
      </c>
      <c r="E1" s="20" t="s">
        <v>1737</v>
      </c>
    </row>
    <row r="2" spans="1:5">
      <c r="A2" s="302"/>
      <c r="B2" s="282"/>
      <c r="C2" s="282"/>
      <c r="D2" s="282"/>
      <c r="E2" s="282"/>
    </row>
    <row r="3" spans="1:5" ht="14.4">
      <c r="A3" s="306"/>
      <c r="B3" s="306"/>
      <c r="C3" s="280"/>
      <c r="D3" s="280"/>
      <c r="E3" s="280"/>
    </row>
    <row r="4" spans="1:5">
      <c r="A4" s="255"/>
      <c r="B4" s="255"/>
      <c r="C4" s="255"/>
      <c r="D4" s="255"/>
      <c r="E4" s="255"/>
    </row>
    <row r="5" spans="1:5">
      <c r="A5" s="255"/>
      <c r="B5" s="255"/>
      <c r="C5" s="255"/>
      <c r="D5" s="255"/>
      <c r="E5" s="255"/>
    </row>
    <row r="6" spans="1:5">
      <c r="A6" s="255"/>
      <c r="B6" s="255"/>
      <c r="C6" s="255"/>
      <c r="D6" s="255"/>
      <c r="E6" s="255"/>
    </row>
    <row r="7" spans="1:5">
      <c r="A7" s="255"/>
      <c r="B7" s="255"/>
      <c r="C7" s="255"/>
      <c r="D7" s="255"/>
      <c r="E7" s="255"/>
    </row>
    <row r="8" spans="1:5">
      <c r="A8" s="255"/>
      <c r="B8" s="255"/>
      <c r="C8" s="255"/>
      <c r="D8" s="255"/>
      <c r="E8" s="255"/>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codeName="Sheet388">
    <tabColor rgb="FFFFC000"/>
  </sheetPr>
  <dimension ref="A1:G8"/>
  <sheetViews>
    <sheetView workbookViewId="0">
      <selection activeCell="G27" sqref="G27"/>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125</v>
      </c>
      <c r="B1" s="1" t="s">
        <v>126</v>
      </c>
      <c r="C1" s="1" t="s">
        <v>127</v>
      </c>
      <c r="D1" s="1" t="s">
        <v>128</v>
      </c>
      <c r="E1" s="1" t="s">
        <v>129</v>
      </c>
      <c r="F1" s="1" t="s">
        <v>130</v>
      </c>
      <c r="G1" s="1" t="s">
        <v>131</v>
      </c>
    </row>
    <row r="2" spans="1:7">
      <c r="A2" s="246"/>
      <c r="B2" s="138"/>
      <c r="C2" s="138"/>
      <c r="D2" s="138"/>
      <c r="E2" s="138"/>
      <c r="F2" s="138"/>
      <c r="G2" s="138"/>
    </row>
    <row r="3" spans="1:7">
      <c r="A3" s="246"/>
      <c r="B3" s="138"/>
      <c r="C3" s="138"/>
      <c r="D3" s="138"/>
      <c r="E3" s="138"/>
      <c r="F3" s="138"/>
      <c r="G3" s="138"/>
    </row>
    <row r="4" spans="1:7">
      <c r="A4" s="246"/>
      <c r="B4" s="138"/>
      <c r="C4" s="138"/>
      <c r="D4" s="138"/>
      <c r="E4" s="138"/>
      <c r="F4" s="138"/>
      <c r="G4" s="138"/>
    </row>
    <row r="5" spans="1:7">
      <c r="A5" s="246"/>
      <c r="B5" s="138"/>
      <c r="C5" s="138"/>
      <c r="D5" s="138"/>
      <c r="E5" s="138"/>
      <c r="F5" s="138"/>
      <c r="G5" s="138"/>
    </row>
    <row r="6" spans="1:7">
      <c r="A6" s="246"/>
      <c r="B6" s="138"/>
      <c r="C6" s="138"/>
      <c r="D6" s="138"/>
      <c r="E6" s="138"/>
      <c r="F6" s="138"/>
      <c r="G6" s="138"/>
    </row>
    <row r="7" spans="1:7">
      <c r="A7" s="246"/>
      <c r="B7" s="138"/>
      <c r="C7" s="138"/>
      <c r="D7" s="138"/>
      <c r="E7" s="138"/>
      <c r="F7" s="138"/>
      <c r="G7" s="138"/>
    </row>
    <row r="8" spans="1:7">
      <c r="A8" s="246"/>
      <c r="B8" s="138"/>
      <c r="C8" s="138"/>
      <c r="D8" s="138"/>
      <c r="E8" s="138"/>
      <c r="F8" s="138"/>
      <c r="G8" s="138"/>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codeName="Sheet389">
    <tabColor rgb="FFFFC000"/>
  </sheetPr>
  <dimension ref="A1:G7"/>
  <sheetViews>
    <sheetView workbookViewId="0">
      <selection activeCell="H26" sqref="H26"/>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125</v>
      </c>
      <c r="B1" s="18" t="s">
        <v>132</v>
      </c>
      <c r="C1" s="18" t="s">
        <v>133</v>
      </c>
      <c r="D1" s="18" t="s">
        <v>134</v>
      </c>
      <c r="E1" s="18" t="s">
        <v>135</v>
      </c>
      <c r="F1" s="18" t="s">
        <v>136</v>
      </c>
      <c r="G1" s="18" t="s">
        <v>137</v>
      </c>
    </row>
    <row r="2" spans="1:7">
      <c r="A2" s="246"/>
      <c r="B2" s="284"/>
      <c r="C2" s="284"/>
      <c r="D2" s="284"/>
      <c r="E2" s="284"/>
      <c r="F2" s="284"/>
      <c r="G2" s="284"/>
    </row>
    <row r="3" spans="1:7">
      <c r="A3" s="246"/>
      <c r="B3" s="284"/>
      <c r="C3" s="284"/>
      <c r="D3" s="284"/>
      <c r="E3" s="284"/>
      <c r="F3" s="284"/>
      <c r="G3" s="284"/>
    </row>
    <row r="4" spans="1:7">
      <c r="A4" s="246"/>
      <c r="B4" s="284"/>
      <c r="C4" s="284"/>
      <c r="D4" s="284"/>
      <c r="E4" s="246"/>
      <c r="F4" s="246"/>
      <c r="G4" s="246"/>
    </row>
    <row r="5" spans="1:7">
      <c r="A5" s="246"/>
      <c r="B5" s="284"/>
      <c r="C5" s="284"/>
      <c r="D5" s="284"/>
      <c r="E5" s="284"/>
      <c r="F5" s="246"/>
      <c r="G5" s="284"/>
    </row>
    <row r="6" spans="1:7">
      <c r="A6" s="246"/>
      <c r="B6" s="246"/>
      <c r="C6" s="246"/>
      <c r="D6" s="246"/>
      <c r="E6" s="246"/>
      <c r="F6" s="246"/>
      <c r="G6" s="246"/>
    </row>
    <row r="7" spans="1:7">
      <c r="A7" s="246"/>
      <c r="B7" s="246"/>
      <c r="C7" s="246"/>
      <c r="D7" s="246"/>
      <c r="E7" s="246"/>
      <c r="F7" s="246"/>
      <c r="G7" s="246"/>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codeName="Sheet390">
    <tabColor rgb="FFFFC000"/>
  </sheetPr>
  <dimension ref="A1:E15"/>
  <sheetViews>
    <sheetView workbookViewId="0">
      <selection activeCell="F26" activeCellId="1" sqref="E14 F2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125</v>
      </c>
      <c r="B1" s="18" t="s">
        <v>138</v>
      </c>
      <c r="C1" s="18" t="s">
        <v>139</v>
      </c>
      <c r="D1" s="18" t="s">
        <v>140</v>
      </c>
      <c r="E1" s="18" t="s">
        <v>141</v>
      </c>
    </row>
    <row r="2" spans="1:5">
      <c r="A2" s="246"/>
      <c r="B2" s="284"/>
      <c r="C2" s="284"/>
      <c r="D2" s="284"/>
      <c r="E2" s="284"/>
    </row>
    <row r="3" spans="1:5">
      <c r="A3" s="246"/>
      <c r="B3" s="246"/>
      <c r="C3" s="284"/>
      <c r="D3" s="284"/>
      <c r="E3" s="284"/>
    </row>
    <row r="4" spans="1:5">
      <c r="A4" s="246"/>
      <c r="B4" s="246"/>
      <c r="C4" s="284"/>
      <c r="D4" s="284"/>
      <c r="E4" s="284"/>
    </row>
    <row r="5" spans="1:5">
      <c r="A5" s="246"/>
      <c r="B5" s="246"/>
      <c r="C5" s="284"/>
      <c r="D5" s="284"/>
      <c r="E5" s="284"/>
    </row>
    <row r="6" spans="1:5">
      <c r="A6" s="246"/>
      <c r="B6" s="246"/>
      <c r="C6" s="246"/>
      <c r="D6" s="246"/>
      <c r="E6" s="246"/>
    </row>
    <row r="7" spans="1:5">
      <c r="B7" s="63"/>
    </row>
    <row r="8" spans="1:5">
      <c r="B8" s="63"/>
      <c r="C8" s="63"/>
      <c r="D8" s="63"/>
      <c r="E8" s="63"/>
    </row>
    <row r="9" spans="1:5">
      <c r="B9" s="63"/>
      <c r="C9" s="63"/>
      <c r="D9" s="63"/>
      <c r="E9" s="63"/>
    </row>
    <row r="10" spans="1:5">
      <c r="B10" s="63"/>
      <c r="C10" s="63"/>
      <c r="D10" s="63"/>
      <c r="E10" s="63"/>
    </row>
    <row r="12" spans="1:5">
      <c r="B12" s="63"/>
      <c r="C12" s="63"/>
      <c r="D12" s="63"/>
      <c r="E12" s="63"/>
    </row>
    <row r="13" spans="1:5">
      <c r="C13" s="63"/>
      <c r="D13" s="63"/>
      <c r="E13" s="63"/>
    </row>
    <row r="14" spans="1:5">
      <c r="C14" s="63"/>
      <c r="D14" s="63"/>
      <c r="E14" s="63"/>
    </row>
    <row r="15" spans="1:5">
      <c r="C15" s="63"/>
      <c r="D15" s="63"/>
      <c r="E15" s="63"/>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codeName="Sheet391">
    <tabColor rgb="FFFFC000"/>
  </sheetPr>
  <dimension ref="A1:E16"/>
  <sheetViews>
    <sheetView workbookViewId="0">
      <selection activeCell="H30" sqref="H30"/>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125</v>
      </c>
      <c r="B1" s="18" t="s">
        <v>142</v>
      </c>
      <c r="C1" s="18" t="s">
        <v>143</v>
      </c>
      <c r="D1" s="18" t="s">
        <v>144</v>
      </c>
      <c r="E1" s="18" t="s">
        <v>145</v>
      </c>
    </row>
    <row r="2" spans="1:5">
      <c r="A2" s="246"/>
      <c r="B2" s="284"/>
      <c r="C2" s="284"/>
      <c r="D2" s="284"/>
      <c r="E2" s="284"/>
    </row>
    <row r="3" spans="1:5">
      <c r="A3" s="246"/>
      <c r="B3" s="246"/>
      <c r="C3" s="284"/>
      <c r="D3" s="284"/>
      <c r="E3" s="284"/>
    </row>
    <row r="4" spans="1:5">
      <c r="A4" s="246"/>
      <c r="B4" s="246"/>
      <c r="C4" s="284"/>
      <c r="D4" s="284"/>
      <c r="E4" s="284"/>
    </row>
    <row r="5" spans="1:5">
      <c r="A5" s="246"/>
      <c r="B5" s="246"/>
      <c r="C5" s="284"/>
      <c r="D5" s="284"/>
      <c r="E5" s="284"/>
    </row>
    <row r="6" spans="1:5">
      <c r="A6" s="246"/>
      <c r="B6" s="246"/>
      <c r="C6" s="246"/>
      <c r="D6" s="246"/>
      <c r="E6" s="246"/>
    </row>
    <row r="7" spans="1:5">
      <c r="B7" s="63"/>
    </row>
    <row r="8" spans="1:5">
      <c r="B8" s="63"/>
      <c r="C8" s="63"/>
      <c r="D8" s="63"/>
      <c r="E8" s="63"/>
    </row>
    <row r="9" spans="1:5">
      <c r="B9" s="63"/>
      <c r="C9" s="63"/>
      <c r="D9" s="63"/>
      <c r="E9" s="63"/>
    </row>
    <row r="10" spans="1:5">
      <c r="B10" s="63"/>
      <c r="C10" s="63"/>
      <c r="D10" s="63"/>
      <c r="E10" s="63"/>
    </row>
    <row r="13" spans="1:5">
      <c r="B13" s="63"/>
      <c r="C13" s="63"/>
      <c r="D13" s="63"/>
      <c r="E13" s="63"/>
    </row>
    <row r="14" spans="1:5">
      <c r="C14" s="63"/>
      <c r="D14" s="63"/>
      <c r="E14" s="63"/>
    </row>
    <row r="15" spans="1:5">
      <c r="C15" s="63"/>
      <c r="D15" s="63"/>
      <c r="E15" s="63"/>
    </row>
    <row r="16" spans="1:5">
      <c r="C16" s="63"/>
      <c r="D16" s="63"/>
      <c r="E16" s="63"/>
    </row>
  </sheetData>
  <phoneticPr fontId="1" type="noConversion"/>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sheetPr codeName="Sheet37">
    <tabColor rgb="FFFFC000"/>
  </sheetPr>
  <dimension ref="A1:C13"/>
  <sheetViews>
    <sheetView workbookViewId="0">
      <selection activeCell="F9" sqref="F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9</v>
      </c>
      <c r="B2" s="50"/>
      <c r="C2" s="50"/>
    </row>
    <row r="3" spans="1:3" ht="14.4">
      <c r="A3" s="61" t="s">
        <v>77</v>
      </c>
      <c r="B3" s="50"/>
      <c r="C3" s="50"/>
    </row>
    <row r="4" spans="1:3" ht="14.4">
      <c r="A4" s="61" t="s">
        <v>78</v>
      </c>
      <c r="B4" s="81"/>
      <c r="C4" s="81"/>
    </row>
    <row r="5" spans="1:3" ht="14.4">
      <c r="A5" s="61" t="s">
        <v>79</v>
      </c>
      <c r="B5" s="81"/>
      <c r="C5" s="81"/>
    </row>
    <row r="6" spans="1:3" ht="14.4">
      <c r="A6" s="61" t="s">
        <v>80</v>
      </c>
      <c r="B6" s="81"/>
      <c r="C6" s="81"/>
    </row>
    <row r="7" spans="1:3" ht="14.4">
      <c r="A7" s="61" t="s">
        <v>81</v>
      </c>
      <c r="B7" s="81"/>
      <c r="C7" s="81"/>
    </row>
    <row r="8" spans="1:3" ht="14.4">
      <c r="A8" s="61" t="s">
        <v>82</v>
      </c>
      <c r="B8" s="81"/>
      <c r="C8" s="81"/>
    </row>
    <row r="9" spans="1:3" ht="14.4">
      <c r="A9" s="61" t="s">
        <v>83</v>
      </c>
      <c r="B9" s="81"/>
      <c r="C9" s="81"/>
    </row>
    <row r="10" spans="1:3" ht="14.4">
      <c r="A10" s="61" t="s">
        <v>84</v>
      </c>
      <c r="B10" s="81"/>
      <c r="C10" s="81"/>
    </row>
    <row r="11" spans="1:3">
      <c r="A11" s="55" t="s">
        <v>13</v>
      </c>
      <c r="B11" s="81"/>
      <c r="C11" s="81"/>
    </row>
    <row r="12" spans="1:3" ht="14.4">
      <c r="A12" s="61" t="s">
        <v>72</v>
      </c>
      <c r="B12" s="81"/>
      <c r="C12" s="81"/>
    </row>
    <row r="13" spans="1:3" ht="14.4">
      <c r="A13" s="61" t="s">
        <v>70</v>
      </c>
      <c r="B13" s="81"/>
      <c r="C13" s="81"/>
    </row>
  </sheetData>
  <phoneticPr fontId="1" type="noConversion"/>
  <pageMargins left="0.7" right="0.7" top="0.75" bottom="0.75" header="0.3" footer="0.3"/>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codeName="Sheet392">
    <tabColor rgb="FFFFC000"/>
  </sheetPr>
  <dimension ref="A1:D9"/>
  <sheetViews>
    <sheetView workbookViewId="0">
      <selection activeCell="K26" sqref="K26"/>
    </sheetView>
  </sheetViews>
  <sheetFormatPr defaultRowHeight="13.8"/>
  <sheetData>
    <row r="1" spans="1:4" ht="28.8">
      <c r="A1" s="19" t="s">
        <v>1713</v>
      </c>
      <c r="B1" s="20" t="s">
        <v>1738</v>
      </c>
      <c r="C1" s="20" t="s">
        <v>3378</v>
      </c>
      <c r="D1" s="20" t="s">
        <v>3379</v>
      </c>
    </row>
    <row r="2" spans="1:4" ht="14.4">
      <c r="A2" s="306"/>
      <c r="B2" s="306"/>
      <c r="C2" s="306"/>
      <c r="D2" s="306"/>
    </row>
    <row r="3" spans="1:4">
      <c r="A3" s="255"/>
      <c r="B3" s="255"/>
      <c r="C3" s="255"/>
      <c r="D3" s="255"/>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codeName="Sheet393">
    <tabColor rgb="FFFFC000"/>
  </sheetPr>
  <dimension ref="A1:D11"/>
  <sheetViews>
    <sheetView workbookViewId="0">
      <selection activeCell="I23" sqref="I23"/>
    </sheetView>
  </sheetViews>
  <sheetFormatPr defaultRowHeight="13.8"/>
  <cols>
    <col min="1" max="1" width="40.6640625" customWidth="1"/>
  </cols>
  <sheetData>
    <row r="1" spans="1:4" ht="14.4">
      <c r="A1" s="31" t="s">
        <v>28</v>
      </c>
      <c r="B1" s="20" t="s">
        <v>722</v>
      </c>
      <c r="C1" s="20" t="s">
        <v>722</v>
      </c>
      <c r="D1" s="20" t="s">
        <v>13</v>
      </c>
    </row>
    <row r="2" spans="1:4" ht="14.4">
      <c r="A2" s="32" t="s">
        <v>1739</v>
      </c>
      <c r="B2" s="280"/>
      <c r="C2" s="280"/>
      <c r="D2" s="280"/>
    </row>
    <row r="3" spans="1:4" ht="14.4">
      <c r="A3" s="32" t="s">
        <v>3266</v>
      </c>
      <c r="B3" s="280"/>
      <c r="C3" s="280"/>
      <c r="D3" s="280"/>
    </row>
    <row r="4" spans="1:4" ht="14.4">
      <c r="A4" s="32" t="s">
        <v>3267</v>
      </c>
      <c r="B4" s="280"/>
      <c r="C4" s="280"/>
      <c r="D4" s="280"/>
    </row>
    <row r="5" spans="1:4" ht="14.4">
      <c r="A5" s="36" t="s">
        <v>13</v>
      </c>
      <c r="B5" s="280"/>
      <c r="C5" s="280"/>
      <c r="D5" s="280"/>
    </row>
    <row r="6" spans="1:4" ht="14.4">
      <c r="A6" s="32" t="s">
        <v>1740</v>
      </c>
      <c r="B6" s="280"/>
      <c r="C6" s="280"/>
      <c r="D6" s="280"/>
    </row>
    <row r="7" spans="1:4" ht="28.8">
      <c r="A7" s="32" t="s">
        <v>1741</v>
      </c>
      <c r="B7" s="280"/>
      <c r="C7" s="280"/>
      <c r="D7" s="280"/>
    </row>
    <row r="8" spans="1:4" ht="14.4">
      <c r="A8" s="32" t="s">
        <v>189</v>
      </c>
      <c r="B8" s="280"/>
      <c r="C8" s="280"/>
      <c r="D8" s="280"/>
    </row>
    <row r="9" spans="1:4" ht="14.4">
      <c r="A9" s="32" t="s">
        <v>190</v>
      </c>
      <c r="B9" s="280"/>
      <c r="C9" s="280"/>
      <c r="D9" s="280"/>
    </row>
    <row r="10" spans="1:4" ht="14.4">
      <c r="A10" s="32" t="s">
        <v>3268</v>
      </c>
      <c r="B10" s="280"/>
      <c r="C10" s="280"/>
      <c r="D10" s="280"/>
    </row>
    <row r="11" spans="1:4" ht="14.4">
      <c r="A11" s="32" t="s">
        <v>3269</v>
      </c>
      <c r="B11" s="280"/>
      <c r="C11" s="280"/>
      <c r="D11" s="280"/>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codeName="Sheet394">
    <tabColor rgb="FFFFC000"/>
  </sheetPr>
  <dimension ref="A1:G12"/>
  <sheetViews>
    <sheetView workbookViewId="0">
      <selection activeCell="N5" sqref="N5"/>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414</v>
      </c>
      <c r="B1" s="32" t="s">
        <v>114</v>
      </c>
      <c r="C1" s="32" t="s">
        <v>113</v>
      </c>
      <c r="D1" s="32" t="s">
        <v>115</v>
      </c>
      <c r="E1" s="40" t="s">
        <v>1742</v>
      </c>
      <c r="F1" s="40" t="s">
        <v>1743</v>
      </c>
      <c r="G1" s="32" t="s">
        <v>1744</v>
      </c>
    </row>
    <row r="2" spans="1:7" ht="14.4">
      <c r="A2" s="306"/>
      <c r="B2" s="306"/>
      <c r="C2" s="306"/>
      <c r="D2" s="306"/>
      <c r="E2" s="269"/>
      <c r="F2" s="269"/>
      <c r="G2" s="306"/>
    </row>
    <row r="3" spans="1:7">
      <c r="A3" s="302"/>
      <c r="B3" s="282"/>
      <c r="C3" s="282"/>
      <c r="D3" s="282"/>
      <c r="E3" s="282"/>
      <c r="F3" s="282"/>
      <c r="G3" s="282"/>
    </row>
    <row r="4" spans="1:7">
      <c r="A4" s="302"/>
      <c r="B4" s="282"/>
      <c r="C4" s="282"/>
      <c r="D4" s="282"/>
      <c r="E4" s="282"/>
      <c r="F4" s="282"/>
      <c r="G4" s="282"/>
    </row>
    <row r="5" spans="1:7">
      <c r="A5" s="302"/>
      <c r="B5" s="282"/>
      <c r="C5" s="282"/>
      <c r="D5" s="282"/>
      <c r="E5" s="282"/>
      <c r="F5" s="282"/>
      <c r="G5" s="282"/>
    </row>
    <row r="6" spans="1:7">
      <c r="A6" s="255"/>
      <c r="B6" s="255"/>
      <c r="C6" s="255"/>
      <c r="D6" s="255"/>
      <c r="E6" s="255"/>
      <c r="F6" s="255"/>
      <c r="G6" s="255"/>
    </row>
    <row r="7" spans="1:7">
      <c r="A7" s="255"/>
      <c r="B7" s="255"/>
      <c r="C7" s="255"/>
      <c r="D7" s="255"/>
      <c r="E7" s="255"/>
      <c r="F7" s="255"/>
      <c r="G7" s="255"/>
    </row>
    <row r="8" spans="1:7">
      <c r="A8" s="255"/>
      <c r="B8" s="255"/>
      <c r="C8" s="255"/>
      <c r="D8" s="255"/>
      <c r="E8" s="255"/>
      <c r="F8" s="255"/>
      <c r="G8" s="255"/>
    </row>
    <row r="9" spans="1:7">
      <c r="A9" s="255"/>
      <c r="B9" s="255"/>
      <c r="C9" s="255"/>
      <c r="D9" s="255"/>
      <c r="E9" s="255"/>
      <c r="F9" s="255"/>
      <c r="G9" s="255"/>
    </row>
    <row r="10" spans="1:7">
      <c r="A10" s="255"/>
      <c r="B10" s="255"/>
      <c r="C10" s="255"/>
      <c r="D10" s="255"/>
      <c r="E10" s="255"/>
      <c r="F10" s="255"/>
      <c r="G10" s="255"/>
    </row>
    <row r="11" spans="1:7">
      <c r="A11" s="255"/>
      <c r="B11" s="255"/>
      <c r="C11" s="255"/>
      <c r="D11" s="255"/>
      <c r="E11" s="255"/>
      <c r="F11" s="255"/>
      <c r="G11" s="255"/>
    </row>
    <row r="12" spans="1:7">
      <c r="A12" s="255"/>
      <c r="B12" s="255"/>
      <c r="C12" s="255"/>
      <c r="D12" s="255"/>
      <c r="E12" s="255"/>
      <c r="F12" s="255"/>
      <c r="G12" s="255"/>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codeName="Sheet395">
    <tabColor rgb="FFFFC000"/>
  </sheetPr>
  <dimension ref="A1:D31"/>
  <sheetViews>
    <sheetView workbookViewId="0">
      <selection activeCell="H22" sqref="H22"/>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28</v>
      </c>
      <c r="B1" s="20" t="s">
        <v>408</v>
      </c>
      <c r="C1" s="20" t="s">
        <v>409</v>
      </c>
      <c r="D1" s="20" t="s">
        <v>411</v>
      </c>
    </row>
    <row r="2" spans="1:4" ht="15.6">
      <c r="A2" s="33" t="s">
        <v>1745</v>
      </c>
      <c r="B2" s="313"/>
      <c r="C2" s="313"/>
      <c r="D2" s="313"/>
    </row>
    <row r="3" spans="1:4" ht="15.6">
      <c r="A3" s="33" t="s">
        <v>1746</v>
      </c>
      <c r="B3" s="313"/>
      <c r="C3" s="313"/>
      <c r="D3" s="313"/>
    </row>
    <row r="4" spans="1:4" ht="15.6">
      <c r="A4" s="33" t="s">
        <v>1747</v>
      </c>
      <c r="B4" s="313"/>
      <c r="C4" s="313"/>
      <c r="D4" s="313"/>
    </row>
    <row r="5" spans="1:4" ht="15.6">
      <c r="A5" s="33" t="s">
        <v>1748</v>
      </c>
      <c r="B5" s="313"/>
      <c r="C5" s="313"/>
      <c r="D5" s="313"/>
    </row>
    <row r="6" spans="1:4" ht="15.6">
      <c r="A6" s="33"/>
      <c r="B6" s="313"/>
      <c r="C6" s="313"/>
      <c r="D6" s="313"/>
    </row>
    <row r="7" spans="1:4" ht="15.6">
      <c r="A7" s="33" t="s">
        <v>1749</v>
      </c>
      <c r="B7" s="313"/>
      <c r="C7" s="313"/>
      <c r="D7" s="313"/>
    </row>
    <row r="8" spans="1:4" ht="15.6">
      <c r="A8" s="33" t="s">
        <v>1750</v>
      </c>
      <c r="B8" s="313"/>
      <c r="C8" s="313"/>
      <c r="D8" s="313"/>
    </row>
    <row r="9" spans="1:4" ht="15.6">
      <c r="A9" s="33" t="s">
        <v>1751</v>
      </c>
      <c r="B9" s="313"/>
      <c r="C9" s="313"/>
      <c r="D9" s="313"/>
    </row>
    <row r="10" spans="1:4" ht="15.6">
      <c r="A10" s="33"/>
      <c r="B10" s="313"/>
      <c r="C10" s="313"/>
      <c r="D10" s="313"/>
    </row>
    <row r="11" spans="1:4" ht="15.6">
      <c r="A11" s="33" t="s">
        <v>1100</v>
      </c>
      <c r="B11" s="313"/>
      <c r="C11" s="313"/>
      <c r="D11" s="313"/>
    </row>
    <row r="12" spans="1:4" ht="15.6">
      <c r="A12" s="33" t="s">
        <v>1752</v>
      </c>
      <c r="B12" s="313"/>
      <c r="C12" s="313"/>
      <c r="D12" s="313"/>
    </row>
    <row r="13" spans="1:4" ht="15.6">
      <c r="A13" s="33"/>
      <c r="B13" s="313"/>
      <c r="C13" s="313"/>
      <c r="D13" s="313"/>
    </row>
    <row r="14" spans="1:4" ht="15.6">
      <c r="A14" s="33" t="s">
        <v>1753</v>
      </c>
      <c r="B14" s="313"/>
      <c r="C14" s="313"/>
      <c r="D14" s="313"/>
    </row>
    <row r="15" spans="1:4" ht="15.6">
      <c r="A15" s="33" t="s">
        <v>1754</v>
      </c>
      <c r="B15" s="313"/>
      <c r="C15" s="313"/>
      <c r="D15" s="313"/>
    </row>
    <row r="16" spans="1:4" ht="15.6">
      <c r="A16" s="237" t="s">
        <v>1760</v>
      </c>
      <c r="B16" s="313"/>
      <c r="C16" s="313"/>
      <c r="D16" s="313"/>
    </row>
    <row r="17" spans="1:4" ht="15.6">
      <c r="A17" s="237" t="s">
        <v>1761</v>
      </c>
      <c r="B17" s="313"/>
      <c r="C17" s="313"/>
      <c r="D17" s="313"/>
    </row>
    <row r="18" spans="1:4" ht="15.6">
      <c r="A18" s="237" t="s">
        <v>1762</v>
      </c>
      <c r="B18" s="313"/>
      <c r="C18" s="313"/>
      <c r="D18" s="313"/>
    </row>
    <row r="19" spans="1:4" ht="15.6">
      <c r="A19" s="33" t="s">
        <v>1755</v>
      </c>
      <c r="B19" s="313"/>
      <c r="C19" s="313"/>
      <c r="D19" s="313"/>
    </row>
    <row r="20" spans="1:4" ht="15.6">
      <c r="A20" s="33"/>
      <c r="B20" s="313"/>
      <c r="C20" s="313"/>
      <c r="D20" s="313"/>
    </row>
    <row r="21" spans="1:4">
      <c r="A21" s="18" t="s">
        <v>1756</v>
      </c>
      <c r="B21" s="246"/>
      <c r="C21" s="246"/>
      <c r="D21" s="246"/>
    </row>
    <row r="22" spans="1:4">
      <c r="B22" s="246"/>
      <c r="C22" s="246"/>
      <c r="D22" s="246"/>
    </row>
    <row r="23" spans="1:4">
      <c r="A23" s="18" t="s">
        <v>1105</v>
      </c>
      <c r="B23" s="246"/>
      <c r="C23" s="246"/>
      <c r="D23" s="246"/>
    </row>
    <row r="24" spans="1:4">
      <c r="A24" s="18" t="s">
        <v>778</v>
      </c>
      <c r="B24" s="246"/>
      <c r="C24" s="246"/>
      <c r="D24" s="246"/>
    </row>
    <row r="25" spans="1:4">
      <c r="A25" s="18" t="s">
        <v>698</v>
      </c>
      <c r="B25" s="246"/>
      <c r="C25" s="246"/>
      <c r="D25" s="246"/>
    </row>
    <row r="26" spans="1:4">
      <c r="A26" s="18" t="s">
        <v>699</v>
      </c>
      <c r="B26" s="246"/>
      <c r="C26" s="246"/>
      <c r="D26" s="246"/>
    </row>
    <row r="27" spans="1:4">
      <c r="A27" s="18" t="s">
        <v>1757</v>
      </c>
      <c r="B27" s="246"/>
      <c r="C27" s="246"/>
      <c r="D27" s="246"/>
    </row>
    <row r="28" spans="1:4">
      <c r="A28" s="18" t="s">
        <v>760</v>
      </c>
      <c r="B28" s="246"/>
      <c r="C28" s="246"/>
      <c r="D28" s="246"/>
    </row>
    <row r="29" spans="1:4">
      <c r="A29" s="18" t="s">
        <v>1758</v>
      </c>
      <c r="B29" s="246"/>
      <c r="C29" s="246"/>
      <c r="D29" s="246"/>
    </row>
    <row r="30" spans="1:4">
      <c r="B30" s="246"/>
      <c r="C30" s="246"/>
      <c r="D30" s="246"/>
    </row>
    <row r="31" spans="1:4">
      <c r="A31" s="18" t="s">
        <v>1759</v>
      </c>
      <c r="B31" s="246"/>
      <c r="C31" s="246"/>
      <c r="D31" s="246"/>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codeName="Sheet396">
    <tabColor rgb="FFFFC000"/>
  </sheetPr>
  <dimension ref="A1:D31"/>
  <sheetViews>
    <sheetView workbookViewId="0">
      <selection activeCell="E36" sqref="E36"/>
    </sheetView>
  </sheetViews>
  <sheetFormatPr defaultRowHeight="13.8"/>
  <cols>
    <col min="1" max="1" width="62.109375" style="18" customWidth="1"/>
    <col min="2" max="16384" width="8.88671875" style="18"/>
  </cols>
  <sheetData>
    <row r="1" spans="1:4" ht="14.4">
      <c r="A1" s="32" t="s">
        <v>28</v>
      </c>
      <c r="B1" s="20" t="s">
        <v>408</v>
      </c>
      <c r="C1" s="20" t="s">
        <v>409</v>
      </c>
      <c r="D1" s="20" t="s">
        <v>411</v>
      </c>
    </row>
    <row r="2" spans="1:4" ht="15.6">
      <c r="A2" s="33" t="s">
        <v>1745</v>
      </c>
      <c r="B2" s="313"/>
      <c r="C2" s="313"/>
      <c r="D2" s="313"/>
    </row>
    <row r="3" spans="1:4" ht="15.6">
      <c r="A3" s="33" t="s">
        <v>1746</v>
      </c>
      <c r="B3" s="313"/>
      <c r="C3" s="313"/>
      <c r="D3" s="313"/>
    </row>
    <row r="4" spans="1:4" ht="15.6">
      <c r="A4" s="33" t="s">
        <v>1747</v>
      </c>
      <c r="B4" s="313"/>
      <c r="C4" s="313"/>
      <c r="D4" s="313"/>
    </row>
    <row r="5" spans="1:4" ht="15.6">
      <c r="A5" s="33" t="s">
        <v>1748</v>
      </c>
      <c r="B5" s="313"/>
      <c r="C5" s="313"/>
      <c r="D5" s="313"/>
    </row>
    <row r="6" spans="1:4" ht="15.6">
      <c r="A6" s="33"/>
      <c r="B6" s="313"/>
      <c r="C6" s="313"/>
      <c r="D6" s="313"/>
    </row>
    <row r="7" spans="1:4" ht="15.6">
      <c r="A7" s="33" t="s">
        <v>1749</v>
      </c>
      <c r="B7" s="313"/>
      <c r="C7" s="313"/>
      <c r="D7" s="313"/>
    </row>
    <row r="8" spans="1:4" ht="15.6">
      <c r="A8" s="33" t="s">
        <v>1750</v>
      </c>
      <c r="B8" s="313"/>
      <c r="C8" s="313"/>
      <c r="D8" s="313"/>
    </row>
    <row r="9" spans="1:4" ht="15.6">
      <c r="A9" s="33" t="s">
        <v>1751</v>
      </c>
      <c r="B9" s="313"/>
      <c r="C9" s="313"/>
      <c r="D9" s="313"/>
    </row>
    <row r="10" spans="1:4" ht="15.6">
      <c r="A10" s="33"/>
      <c r="B10" s="313"/>
      <c r="C10" s="313"/>
      <c r="D10" s="313"/>
    </row>
    <row r="11" spans="1:4" ht="15.6">
      <c r="A11" s="33" t="s">
        <v>1100</v>
      </c>
      <c r="B11" s="313"/>
      <c r="C11" s="313"/>
      <c r="D11" s="313"/>
    </row>
    <row r="12" spans="1:4" ht="15.6">
      <c r="A12" s="33" t="s">
        <v>1752</v>
      </c>
      <c r="B12" s="313"/>
      <c r="C12" s="313"/>
      <c r="D12" s="313"/>
    </row>
    <row r="13" spans="1:4" ht="15.6">
      <c r="A13" s="33"/>
      <c r="B13" s="313"/>
      <c r="C13" s="313"/>
      <c r="D13" s="313"/>
    </row>
    <row r="14" spans="1:4" ht="15.6">
      <c r="A14" s="33" t="s">
        <v>1753</v>
      </c>
      <c r="B14" s="313"/>
      <c r="C14" s="313"/>
      <c r="D14" s="313"/>
    </row>
    <row r="15" spans="1:4" ht="15.6">
      <c r="A15" s="33" t="s">
        <v>1754</v>
      </c>
      <c r="B15" s="313"/>
      <c r="C15" s="313"/>
      <c r="D15" s="313"/>
    </row>
    <row r="16" spans="1:4" ht="15.6">
      <c r="A16" s="237" t="s">
        <v>1760</v>
      </c>
      <c r="B16" s="313"/>
      <c r="C16" s="313"/>
      <c r="D16" s="313"/>
    </row>
    <row r="17" spans="1:4" ht="15.6">
      <c r="A17" s="237" t="s">
        <v>1761</v>
      </c>
      <c r="B17" s="313"/>
      <c r="C17" s="313"/>
      <c r="D17" s="313"/>
    </row>
    <row r="18" spans="1:4" ht="15.6">
      <c r="A18" s="237" t="s">
        <v>1762</v>
      </c>
      <c r="B18" s="313"/>
      <c r="C18" s="313"/>
      <c r="D18" s="313"/>
    </row>
    <row r="19" spans="1:4" ht="15.6">
      <c r="A19" s="33" t="s">
        <v>1755</v>
      </c>
      <c r="B19" s="313"/>
      <c r="C19" s="313"/>
      <c r="D19" s="313"/>
    </row>
    <row r="20" spans="1:4" ht="14.4">
      <c r="A20" s="33"/>
      <c r="B20" s="246"/>
      <c r="C20" s="246"/>
      <c r="D20" s="246"/>
    </row>
    <row r="21" spans="1:4">
      <c r="A21" s="18" t="s">
        <v>1756</v>
      </c>
      <c r="B21" s="246"/>
      <c r="C21" s="246"/>
      <c r="D21" s="246"/>
    </row>
    <row r="22" spans="1:4">
      <c r="B22" s="246"/>
      <c r="C22" s="246"/>
      <c r="D22" s="246"/>
    </row>
    <row r="23" spans="1:4">
      <c r="A23" s="18" t="s">
        <v>1105</v>
      </c>
      <c r="B23" s="246"/>
      <c r="C23" s="246"/>
      <c r="D23" s="246"/>
    </row>
    <row r="24" spans="1:4">
      <c r="A24" s="18" t="s">
        <v>778</v>
      </c>
      <c r="B24" s="246"/>
      <c r="C24" s="246"/>
      <c r="D24" s="246"/>
    </row>
    <row r="25" spans="1:4">
      <c r="A25" s="18" t="s">
        <v>698</v>
      </c>
      <c r="B25" s="246"/>
      <c r="C25" s="246"/>
      <c r="D25" s="246"/>
    </row>
    <row r="26" spans="1:4">
      <c r="A26" s="18" t="s">
        <v>699</v>
      </c>
      <c r="B26" s="246"/>
      <c r="C26" s="246"/>
      <c r="D26" s="246"/>
    </row>
    <row r="27" spans="1:4">
      <c r="A27" s="18" t="s">
        <v>1757</v>
      </c>
      <c r="B27" s="246"/>
      <c r="C27" s="246"/>
      <c r="D27" s="246"/>
    </row>
    <row r="28" spans="1:4">
      <c r="A28" s="18" t="s">
        <v>760</v>
      </c>
      <c r="B28" s="246"/>
      <c r="C28" s="246"/>
      <c r="D28" s="246"/>
    </row>
    <row r="29" spans="1:4">
      <c r="A29" s="18" t="s">
        <v>1758</v>
      </c>
      <c r="B29" s="246"/>
      <c r="C29" s="246"/>
      <c r="D29" s="246"/>
    </row>
    <row r="30" spans="1:4">
      <c r="B30" s="246"/>
      <c r="C30" s="246"/>
      <c r="D30" s="246"/>
    </row>
    <row r="31" spans="1:4">
      <c r="A31" s="18" t="s">
        <v>1759</v>
      </c>
      <c r="B31" s="246"/>
      <c r="C31" s="246"/>
      <c r="D31" s="246"/>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codeName="Sheet397">
    <tabColor rgb="FFFFC000"/>
  </sheetPr>
  <dimension ref="A1:C28"/>
  <sheetViews>
    <sheetView workbookViewId="0">
      <selection activeCell="I27" sqref="I27"/>
    </sheetView>
  </sheetViews>
  <sheetFormatPr defaultRowHeight="13.8"/>
  <cols>
    <col min="1" max="1" width="35.88671875" style="18" bestFit="1" customWidth="1"/>
    <col min="2" max="16384" width="8.88671875" style="18"/>
  </cols>
  <sheetData>
    <row r="1" spans="1:3" ht="14.4">
      <c r="A1" s="32" t="s">
        <v>28</v>
      </c>
      <c r="B1" s="20" t="s">
        <v>408</v>
      </c>
      <c r="C1" s="20" t="s">
        <v>409</v>
      </c>
    </row>
    <row r="2" spans="1:3" ht="15.6">
      <c r="A2" s="44" t="s">
        <v>1745</v>
      </c>
      <c r="B2" s="313"/>
      <c r="C2" s="313"/>
    </row>
    <row r="3" spans="1:3" ht="15.6">
      <c r="A3" s="44" t="s">
        <v>1747</v>
      </c>
      <c r="B3" s="313"/>
      <c r="C3" s="313"/>
    </row>
    <row r="4" spans="1:3" ht="15.6">
      <c r="A4" s="44" t="s">
        <v>1748</v>
      </c>
      <c r="B4" s="313"/>
      <c r="C4" s="313"/>
    </row>
    <row r="5" spans="1:3" ht="15.6">
      <c r="A5" s="46"/>
      <c r="B5" s="313"/>
      <c r="C5" s="313"/>
    </row>
    <row r="6" spans="1:3" ht="15.6">
      <c r="A6" s="44" t="s">
        <v>1749</v>
      </c>
      <c r="B6" s="313"/>
      <c r="C6" s="313"/>
    </row>
    <row r="7" spans="1:3" ht="15.6">
      <c r="A7" s="44" t="s">
        <v>1750</v>
      </c>
      <c r="B7" s="313"/>
      <c r="C7" s="313"/>
    </row>
    <row r="8" spans="1:3" ht="15.6">
      <c r="A8" s="44" t="s">
        <v>1751</v>
      </c>
      <c r="B8" s="313"/>
      <c r="C8" s="313"/>
    </row>
    <row r="9" spans="1:3" ht="15.6">
      <c r="A9" s="46"/>
      <c r="B9" s="313"/>
      <c r="C9" s="313"/>
    </row>
    <row r="10" spans="1:3" ht="15.6">
      <c r="A10" s="44" t="s">
        <v>1100</v>
      </c>
      <c r="B10" s="313"/>
      <c r="C10" s="313"/>
    </row>
    <row r="11" spans="1:3" ht="15.6">
      <c r="A11" s="44" t="s">
        <v>1752</v>
      </c>
      <c r="B11" s="313"/>
      <c r="C11" s="313"/>
    </row>
    <row r="12" spans="1:3" ht="15.6">
      <c r="A12" s="46"/>
      <c r="B12" s="313"/>
      <c r="C12" s="313"/>
    </row>
    <row r="13" spans="1:3" ht="15.6">
      <c r="A13" s="44" t="s">
        <v>1753</v>
      </c>
      <c r="B13" s="313"/>
      <c r="C13" s="313"/>
    </row>
    <row r="14" spans="1:3" ht="15.6">
      <c r="A14" s="44" t="s">
        <v>1754</v>
      </c>
      <c r="B14" s="313"/>
      <c r="C14" s="313"/>
    </row>
    <row r="15" spans="1:3" ht="15.6">
      <c r="A15" s="44" t="s">
        <v>1763</v>
      </c>
      <c r="B15" s="313"/>
      <c r="C15" s="313"/>
    </row>
    <row r="16" spans="1:3" ht="15.6">
      <c r="A16" s="44" t="s">
        <v>1764</v>
      </c>
      <c r="B16" s="313"/>
      <c r="C16" s="313"/>
    </row>
    <row r="17" spans="1:3" ht="15.6">
      <c r="A17" s="44" t="s">
        <v>1696</v>
      </c>
      <c r="B17" s="313"/>
      <c r="C17" s="313"/>
    </row>
    <row r="18" spans="1:3" ht="14.4">
      <c r="A18" s="44" t="s">
        <v>1765</v>
      </c>
      <c r="B18" s="246"/>
      <c r="C18" s="246"/>
    </row>
    <row r="19" spans="1:3">
      <c r="A19" s="46"/>
      <c r="B19" s="246"/>
      <c r="C19" s="246"/>
    </row>
    <row r="20" spans="1:3" ht="28.8">
      <c r="A20" s="44" t="s">
        <v>1766</v>
      </c>
      <c r="B20" s="246"/>
      <c r="C20" s="246"/>
    </row>
    <row r="21" spans="1:3">
      <c r="A21" s="46"/>
      <c r="B21" s="246"/>
      <c r="C21" s="246"/>
    </row>
    <row r="22" spans="1:3" ht="14.4">
      <c r="A22" s="44" t="s">
        <v>1105</v>
      </c>
      <c r="B22" s="246"/>
      <c r="C22" s="246"/>
    </row>
    <row r="23" spans="1:3" ht="14.4">
      <c r="A23" s="44" t="s">
        <v>699</v>
      </c>
      <c r="B23" s="246"/>
      <c r="C23" s="246"/>
    </row>
    <row r="24" spans="1:3" ht="14.4">
      <c r="A24" s="44" t="s">
        <v>1757</v>
      </c>
      <c r="B24" s="246"/>
      <c r="C24" s="246"/>
    </row>
    <row r="25" spans="1:3" ht="14.4">
      <c r="A25" s="44" t="s">
        <v>760</v>
      </c>
      <c r="B25" s="246"/>
      <c r="C25" s="246"/>
    </row>
    <row r="26" spans="1:3" ht="14.4">
      <c r="A26" s="44" t="s">
        <v>1758</v>
      </c>
      <c r="B26" s="246"/>
      <c r="C26" s="246"/>
    </row>
    <row r="27" spans="1:3">
      <c r="A27" s="46"/>
      <c r="B27" s="246"/>
      <c r="C27" s="246"/>
    </row>
    <row r="28" spans="1:3" ht="14.4">
      <c r="A28" s="44" t="s">
        <v>1767</v>
      </c>
      <c r="B28" s="246"/>
      <c r="C28" s="246"/>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codeName="Sheet398">
    <tabColor rgb="FFFFFF00"/>
  </sheetPr>
  <dimension ref="A1:C28"/>
  <sheetViews>
    <sheetView workbookViewId="0">
      <selection activeCell="H36" sqref="H36"/>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28</v>
      </c>
      <c r="B1" s="20" t="s">
        <v>408</v>
      </c>
      <c r="C1" s="20" t="s">
        <v>409</v>
      </c>
    </row>
    <row r="2" spans="1:3" ht="15.6">
      <c r="A2" s="44" t="s">
        <v>1745</v>
      </c>
      <c r="B2" s="313"/>
      <c r="C2" s="313"/>
    </row>
    <row r="3" spans="1:3" ht="15.6">
      <c r="A3" s="44" t="s">
        <v>1747</v>
      </c>
      <c r="B3" s="313"/>
      <c r="C3" s="313"/>
    </row>
    <row r="4" spans="1:3" ht="15.6">
      <c r="A4" s="44" t="s">
        <v>1748</v>
      </c>
      <c r="B4" s="313"/>
      <c r="C4" s="313"/>
    </row>
    <row r="5" spans="1:3" ht="15.6">
      <c r="A5" s="46"/>
      <c r="B5" s="313"/>
      <c r="C5" s="313"/>
    </row>
    <row r="6" spans="1:3" ht="15.6">
      <c r="A6" s="44" t="s">
        <v>1749</v>
      </c>
      <c r="B6" s="313"/>
      <c r="C6" s="313"/>
    </row>
    <row r="7" spans="1:3" ht="15.6">
      <c r="A7" s="44" t="s">
        <v>1750</v>
      </c>
      <c r="B7" s="313"/>
      <c r="C7" s="313"/>
    </row>
    <row r="8" spans="1:3" ht="15.6">
      <c r="A8" s="44" t="s">
        <v>1751</v>
      </c>
      <c r="B8" s="313"/>
      <c r="C8" s="313"/>
    </row>
    <row r="9" spans="1:3" ht="15.6">
      <c r="A9" s="46"/>
      <c r="B9" s="313"/>
      <c r="C9" s="313"/>
    </row>
    <row r="10" spans="1:3" ht="15.6">
      <c r="A10" s="44" t="s">
        <v>1100</v>
      </c>
      <c r="B10" s="313"/>
      <c r="C10" s="313"/>
    </row>
    <row r="11" spans="1:3" ht="15.6">
      <c r="A11" s="44" t="s">
        <v>1752</v>
      </c>
      <c r="B11" s="313"/>
      <c r="C11" s="313"/>
    </row>
    <row r="12" spans="1:3" ht="15.6">
      <c r="A12" s="46"/>
      <c r="B12" s="313"/>
      <c r="C12" s="313"/>
    </row>
    <row r="13" spans="1:3" ht="15.6">
      <c r="A13" s="44" t="s">
        <v>1753</v>
      </c>
      <c r="B13" s="313"/>
      <c r="C13" s="313"/>
    </row>
    <row r="14" spans="1:3" ht="15.6">
      <c r="A14" s="44" t="s">
        <v>1754</v>
      </c>
      <c r="B14" s="313"/>
      <c r="C14" s="313"/>
    </row>
    <row r="15" spans="1:3" ht="15.6">
      <c r="A15" s="44" t="s">
        <v>1763</v>
      </c>
      <c r="B15" s="313"/>
      <c r="C15" s="313"/>
    </row>
    <row r="16" spans="1:3" ht="15.6">
      <c r="A16" s="44" t="s">
        <v>1764</v>
      </c>
      <c r="B16" s="313"/>
      <c r="C16" s="313"/>
    </row>
    <row r="17" spans="1:3" ht="15.6">
      <c r="A17" s="44" t="s">
        <v>1696</v>
      </c>
      <c r="B17" s="313"/>
      <c r="C17" s="313"/>
    </row>
    <row r="18" spans="1:3" ht="14.4">
      <c r="A18" s="44" t="s">
        <v>1765</v>
      </c>
      <c r="B18" s="246"/>
      <c r="C18" s="246"/>
    </row>
    <row r="19" spans="1:3">
      <c r="A19" s="46"/>
      <c r="B19" s="246"/>
      <c r="C19" s="246"/>
    </row>
    <row r="20" spans="1:3" ht="28.8">
      <c r="A20" s="44" t="s">
        <v>1766</v>
      </c>
      <c r="B20" s="246"/>
      <c r="C20" s="246"/>
    </row>
    <row r="21" spans="1:3">
      <c r="A21" s="46"/>
      <c r="B21" s="246"/>
      <c r="C21" s="246"/>
    </row>
    <row r="22" spans="1:3" ht="14.4">
      <c r="A22" s="44" t="s">
        <v>1105</v>
      </c>
      <c r="B22" s="246"/>
      <c r="C22" s="246"/>
    </row>
    <row r="23" spans="1:3" ht="14.4">
      <c r="A23" s="44" t="s">
        <v>699</v>
      </c>
      <c r="B23" s="246"/>
      <c r="C23" s="246"/>
    </row>
    <row r="24" spans="1:3" ht="14.4">
      <c r="A24" s="44" t="s">
        <v>1757</v>
      </c>
      <c r="B24" s="246"/>
      <c r="C24" s="246"/>
    </row>
    <row r="25" spans="1:3" ht="14.4">
      <c r="A25" s="44" t="s">
        <v>760</v>
      </c>
      <c r="B25" s="246"/>
      <c r="C25" s="246"/>
    </row>
    <row r="26" spans="1:3" ht="14.4">
      <c r="A26" s="44" t="s">
        <v>1758</v>
      </c>
      <c r="B26" s="246"/>
      <c r="C26" s="246"/>
    </row>
    <row r="27" spans="1:3">
      <c r="A27" s="46"/>
      <c r="B27" s="246"/>
      <c r="C27" s="246"/>
    </row>
    <row r="28" spans="1:3" ht="14.4">
      <c r="A28" s="44" t="s">
        <v>1767</v>
      </c>
      <c r="B28" s="246"/>
      <c r="C28" s="246"/>
    </row>
  </sheetData>
  <phoneticPr fontId="1"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codeName="Sheet399">
    <tabColor rgb="FFFFFF00"/>
  </sheetPr>
  <dimension ref="A1:C14"/>
  <sheetViews>
    <sheetView workbookViewId="0">
      <selection activeCell="H28" sqref="H28"/>
    </sheetView>
  </sheetViews>
  <sheetFormatPr defaultRowHeight="13.8"/>
  <cols>
    <col min="1" max="1" width="46.6640625" style="18" customWidth="1"/>
    <col min="2" max="16384" width="8.88671875" style="18"/>
  </cols>
  <sheetData>
    <row r="1" spans="1:3" ht="14.4">
      <c r="A1" s="20" t="s">
        <v>28</v>
      </c>
      <c r="B1" s="20" t="s">
        <v>412</v>
      </c>
      <c r="C1" s="20" t="s">
        <v>413</v>
      </c>
    </row>
    <row r="2" spans="1:3" ht="15.6">
      <c r="A2" s="44" t="s">
        <v>1768</v>
      </c>
      <c r="B2" s="56" t="s">
        <v>235</v>
      </c>
      <c r="C2" s="56" t="s">
        <v>235</v>
      </c>
    </row>
    <row r="3" spans="1:3" ht="15.6">
      <c r="A3" s="44" t="s">
        <v>1769</v>
      </c>
      <c r="B3" s="337"/>
      <c r="C3" s="337"/>
    </row>
    <row r="4" spans="1:3" ht="15.6">
      <c r="A4" s="44" t="s">
        <v>1770</v>
      </c>
      <c r="B4" s="337"/>
      <c r="C4" s="337"/>
    </row>
    <row r="5" spans="1:3" ht="15.6">
      <c r="A5" s="44" t="s">
        <v>1772</v>
      </c>
      <c r="B5" s="337"/>
      <c r="C5" s="337"/>
    </row>
    <row r="6" spans="1:3" ht="15.6">
      <c r="A6" s="44" t="s">
        <v>1773</v>
      </c>
      <c r="B6" s="337"/>
      <c r="C6" s="337"/>
    </row>
    <row r="7" spans="1:3" ht="15.6">
      <c r="A7" s="44" t="s">
        <v>1774</v>
      </c>
      <c r="B7" s="337"/>
      <c r="C7" s="337"/>
    </row>
    <row r="8" spans="1:3">
      <c r="A8" s="46"/>
    </row>
    <row r="9" spans="1:3" ht="15.6">
      <c r="A9" s="44" t="s">
        <v>1771</v>
      </c>
      <c r="B9" s="56" t="s">
        <v>235</v>
      </c>
      <c r="C9" s="56" t="s">
        <v>235</v>
      </c>
    </row>
    <row r="10" spans="1:3" ht="15.6">
      <c r="A10" s="44" t="s">
        <v>1769</v>
      </c>
      <c r="B10" s="337"/>
      <c r="C10" s="337"/>
    </row>
    <row r="11" spans="1:3" ht="15.6">
      <c r="A11" s="44" t="s">
        <v>1770</v>
      </c>
      <c r="B11" s="337"/>
      <c r="C11" s="337"/>
    </row>
    <row r="12" spans="1:3" ht="15.6">
      <c r="A12" s="44" t="s">
        <v>1772</v>
      </c>
      <c r="B12" s="337"/>
      <c r="C12" s="337"/>
    </row>
    <row r="13" spans="1:3" ht="15.6">
      <c r="A13" s="44" t="s">
        <v>1773</v>
      </c>
      <c r="B13" s="337"/>
      <c r="C13" s="337"/>
    </row>
    <row r="14" spans="1:3" ht="14.4">
      <c r="A14" s="44" t="s">
        <v>1774</v>
      </c>
      <c r="B14" s="246"/>
      <c r="C14" s="246"/>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codeName="Sheet400">
    <tabColor rgb="FFFFC000"/>
  </sheetPr>
  <dimension ref="A1:D10"/>
  <sheetViews>
    <sheetView workbookViewId="0">
      <selection activeCell="J6" sqref="J6"/>
    </sheetView>
  </sheetViews>
  <sheetFormatPr defaultRowHeight="13.8"/>
  <cols>
    <col min="1" max="16384" width="8.88671875" style="18"/>
  </cols>
  <sheetData>
    <row r="1" spans="1:4" ht="72">
      <c r="A1" s="20" t="s">
        <v>414</v>
      </c>
      <c r="B1" s="20" t="s">
        <v>415</v>
      </c>
      <c r="C1" s="20" t="s">
        <v>416</v>
      </c>
      <c r="D1" s="20" t="s">
        <v>417</v>
      </c>
    </row>
    <row r="2" spans="1:4" ht="14.4">
      <c r="A2" s="269"/>
      <c r="B2" s="269"/>
      <c r="C2" s="269"/>
      <c r="D2" s="269"/>
    </row>
    <row r="3" spans="1:4" ht="14.4">
      <c r="A3" s="306"/>
      <c r="B3" s="280"/>
      <c r="C3" s="280"/>
      <c r="D3" s="280"/>
    </row>
    <row r="4" spans="1:4">
      <c r="A4" s="246"/>
      <c r="B4" s="246"/>
      <c r="C4" s="246"/>
      <c r="D4" s="246"/>
    </row>
    <row r="5" spans="1:4">
      <c r="A5" s="246"/>
      <c r="B5" s="246"/>
      <c r="C5" s="246"/>
      <c r="D5" s="246"/>
    </row>
    <row r="6" spans="1:4">
      <c r="A6" s="246"/>
      <c r="B6" s="246"/>
      <c r="C6" s="246"/>
      <c r="D6" s="246"/>
    </row>
    <row r="7" spans="1:4">
      <c r="A7" s="246"/>
      <c r="B7" s="246"/>
      <c r="C7" s="246"/>
      <c r="D7" s="246"/>
    </row>
    <row r="8" spans="1:4">
      <c r="A8" s="246"/>
      <c r="B8" s="246"/>
      <c r="C8" s="246"/>
      <c r="D8" s="246"/>
    </row>
    <row r="9" spans="1:4">
      <c r="A9" s="246"/>
      <c r="B9" s="246"/>
      <c r="C9" s="246"/>
      <c r="D9" s="246"/>
    </row>
    <row r="10" spans="1:4">
      <c r="A10" s="246"/>
      <c r="B10" s="246"/>
      <c r="C10" s="246"/>
      <c r="D10" s="246"/>
    </row>
  </sheetData>
  <phoneticPr fontId="1" type="noConversion"/>
  <pageMargins left="0.7" right="0.7" top="0.75" bottom="0.75" header="0.3" footer="0.3"/>
  <pageSetup paperSize="9" orientation="portrait" verticalDpi="0" r:id="rId1"/>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codeName="Sheet401">
    <tabColor rgb="FFFFC000"/>
  </sheetPr>
  <dimension ref="A1:F8"/>
  <sheetViews>
    <sheetView workbookViewId="0">
      <selection activeCell="N21" sqref="N21"/>
    </sheetView>
  </sheetViews>
  <sheetFormatPr defaultRowHeight="13.8"/>
  <sheetData>
    <row r="1" spans="1:6" ht="28.8" customHeight="1">
      <c r="A1" s="32" t="s">
        <v>1775</v>
      </c>
      <c r="B1" s="32" t="s">
        <v>1776</v>
      </c>
      <c r="C1" s="32" t="s">
        <v>113</v>
      </c>
      <c r="D1" s="32" t="s">
        <v>115</v>
      </c>
      <c r="E1" s="32" t="s">
        <v>1732</v>
      </c>
      <c r="F1" s="32" t="s">
        <v>1733</v>
      </c>
    </row>
    <row r="2" spans="1:6" ht="14.4">
      <c r="A2" s="306"/>
      <c r="B2" s="306"/>
      <c r="C2" s="306"/>
      <c r="D2" s="306"/>
      <c r="E2" s="269"/>
      <c r="F2" s="269"/>
    </row>
    <row r="3" spans="1:6" ht="14.4">
      <c r="A3" s="306"/>
      <c r="B3" s="306"/>
      <c r="C3" s="306"/>
      <c r="D3" s="306"/>
      <c r="E3" s="306"/>
      <c r="F3" s="306"/>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255"/>
      <c r="B8" s="255"/>
      <c r="C8" s="255"/>
      <c r="D8" s="255"/>
      <c r="E8" s="255"/>
      <c r="F8" s="255"/>
    </row>
  </sheetData>
  <phoneticPr fontId="1" type="noConversion"/>
  <pageMargins left="0.7" right="0.7" top="0.75" bottom="0.75" header="0.3" footer="0.3"/>
  <pageSetup paperSize="9"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sheetPr codeName="Sheet38">
    <tabColor rgb="FFFFC000"/>
  </sheetPr>
  <dimension ref="A1:D13"/>
  <sheetViews>
    <sheetView workbookViewId="0">
      <selection activeCell="K25" sqref="K25"/>
    </sheetView>
  </sheetViews>
  <sheetFormatPr defaultRowHeight="13.8"/>
  <cols>
    <col min="1" max="1" width="21.88671875" style="18" customWidth="1"/>
    <col min="2" max="3" width="11.6640625" style="18" bestFit="1" customWidth="1"/>
    <col min="4" max="16384" width="8.88671875" style="18"/>
  </cols>
  <sheetData>
    <row r="1" spans="1:4" ht="14.4" customHeight="1">
      <c r="A1" s="32" t="s">
        <v>85</v>
      </c>
      <c r="B1" s="20" t="s">
        <v>3167</v>
      </c>
      <c r="C1" s="32" t="s">
        <v>3743</v>
      </c>
      <c r="D1" s="22"/>
    </row>
    <row r="2" spans="1:4" ht="14.4">
      <c r="A2" s="61" t="s">
        <v>9</v>
      </c>
      <c r="B2" s="50"/>
      <c r="C2" s="80"/>
      <c r="D2" s="22"/>
    </row>
    <row r="3" spans="1:4" ht="14.4">
      <c r="A3" s="61" t="s">
        <v>77</v>
      </c>
      <c r="B3" s="50"/>
      <c r="C3" s="80"/>
      <c r="D3" s="22"/>
    </row>
    <row r="4" spans="1:4" ht="14.4">
      <c r="A4" s="61" t="s">
        <v>78</v>
      </c>
      <c r="B4" s="81"/>
      <c r="C4" s="82"/>
      <c r="D4" s="22"/>
    </row>
    <row r="5" spans="1:4" ht="14.4">
      <c r="A5" s="61" t="s">
        <v>79</v>
      </c>
      <c r="B5" s="81"/>
      <c r="C5" s="82"/>
      <c r="D5" s="22"/>
    </row>
    <row r="6" spans="1:4" ht="14.4">
      <c r="A6" s="61" t="s">
        <v>80</v>
      </c>
      <c r="B6" s="81"/>
      <c r="C6" s="82"/>
      <c r="D6" s="22"/>
    </row>
    <row r="7" spans="1:4" ht="14.4">
      <c r="A7" s="61" t="s">
        <v>81</v>
      </c>
      <c r="B7" s="81"/>
      <c r="C7" s="82"/>
      <c r="D7" s="22"/>
    </row>
    <row r="8" spans="1:4" ht="14.4">
      <c r="A8" s="61" t="s">
        <v>82</v>
      </c>
      <c r="B8" s="81"/>
      <c r="C8" s="82"/>
      <c r="D8" s="22"/>
    </row>
    <row r="9" spans="1:4" ht="14.4">
      <c r="A9" s="61" t="s">
        <v>83</v>
      </c>
      <c r="B9" s="81"/>
      <c r="C9" s="82"/>
      <c r="D9" s="22"/>
    </row>
    <row r="10" spans="1:4" ht="14.4">
      <c r="A10" s="61" t="s">
        <v>84</v>
      </c>
      <c r="B10" s="81"/>
      <c r="C10" s="82"/>
      <c r="D10" s="22"/>
    </row>
    <row r="11" spans="1:4">
      <c r="A11" s="55" t="s">
        <v>13</v>
      </c>
      <c r="B11" s="81"/>
      <c r="C11" s="82"/>
      <c r="D11" s="22"/>
    </row>
    <row r="12" spans="1:4" ht="14.4">
      <c r="A12" s="61" t="s">
        <v>72</v>
      </c>
      <c r="B12" s="81"/>
      <c r="C12" s="82"/>
      <c r="D12" s="22"/>
    </row>
    <row r="13" spans="1:4" ht="14.4">
      <c r="A13" s="61" t="s">
        <v>70</v>
      </c>
      <c r="B13" s="81"/>
      <c r="C13" s="82"/>
      <c r="D13" s="22"/>
    </row>
  </sheetData>
  <phoneticPr fontId="1" type="noConversion"/>
  <pageMargins left="0.7" right="0.7" top="0.75" bottom="0.75" header="0.3" footer="0.3"/>
  <pageSetup paperSize="9" orientation="portrait" verticalDpi="0" r:id="rId1"/>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codeName="Sheet402">
    <tabColor rgb="FFFFC000"/>
  </sheetPr>
  <dimension ref="A1:F7"/>
  <sheetViews>
    <sheetView workbookViewId="0">
      <selection activeCell="F26" sqref="F26"/>
    </sheetView>
  </sheetViews>
  <sheetFormatPr defaultRowHeight="13.8"/>
  <cols>
    <col min="1" max="1" width="27" customWidth="1"/>
    <col min="2" max="6" width="16.77734375" customWidth="1"/>
  </cols>
  <sheetData>
    <row r="1" spans="1:6" ht="14.4">
      <c r="A1" s="32" t="s">
        <v>28</v>
      </c>
      <c r="B1" s="20" t="s">
        <v>3376</v>
      </c>
      <c r="C1" s="20" t="s">
        <v>1777</v>
      </c>
      <c r="D1" s="20" t="s">
        <v>258</v>
      </c>
      <c r="E1" s="20" t="s">
        <v>1778</v>
      </c>
      <c r="F1" s="20" t="s">
        <v>261</v>
      </c>
    </row>
    <row r="2" spans="1:6" ht="14.4">
      <c r="A2" s="268" t="s">
        <v>1779</v>
      </c>
      <c r="B2" s="280"/>
      <c r="C2" s="280"/>
      <c r="D2" s="280"/>
      <c r="E2" s="280"/>
      <c r="F2" s="280"/>
    </row>
    <row r="3" spans="1:6" ht="14.4">
      <c r="A3" s="268" t="s">
        <v>496</v>
      </c>
      <c r="B3" s="280"/>
      <c r="C3" s="280"/>
      <c r="D3" s="280"/>
      <c r="E3" s="280"/>
      <c r="F3" s="280"/>
    </row>
    <row r="4" spans="1:6" ht="14.4">
      <c r="A4" s="268" t="s">
        <v>752</v>
      </c>
      <c r="B4" s="280"/>
      <c r="C4" s="280"/>
      <c r="D4" s="280"/>
      <c r="E4" s="280"/>
      <c r="F4" s="280"/>
    </row>
    <row r="5" spans="1:6" ht="14.4">
      <c r="A5" s="268" t="s">
        <v>93</v>
      </c>
      <c r="B5" s="280"/>
      <c r="C5" s="280"/>
      <c r="D5" s="280"/>
      <c r="E5" s="280"/>
      <c r="F5" s="280"/>
    </row>
    <row r="6" spans="1:6" ht="14.4">
      <c r="A6" s="268" t="s">
        <v>13</v>
      </c>
      <c r="B6" s="280"/>
      <c r="C6" s="280"/>
      <c r="D6" s="280"/>
      <c r="E6" s="280"/>
      <c r="F6" s="280"/>
    </row>
    <row r="7" spans="1:6" ht="14.4">
      <c r="A7" s="268" t="s">
        <v>262</v>
      </c>
      <c r="B7" s="280"/>
      <c r="C7" s="280"/>
      <c r="D7" s="280"/>
      <c r="E7" s="280"/>
      <c r="F7" s="280"/>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codeName="Sheet403">
    <tabColor rgb="FFFFC000"/>
  </sheetPr>
  <dimension ref="A1:F7"/>
  <sheetViews>
    <sheetView workbookViewId="0">
      <selection activeCell="L25" sqref="L25"/>
    </sheetView>
  </sheetViews>
  <sheetFormatPr defaultRowHeight="13.8"/>
  <sheetData>
    <row r="1" spans="1:6" ht="28.8">
      <c r="A1" s="32" t="s">
        <v>28</v>
      </c>
      <c r="B1" s="20" t="s">
        <v>347</v>
      </c>
      <c r="C1" s="20" t="s">
        <v>1777</v>
      </c>
      <c r="D1" s="20" t="s">
        <v>258</v>
      </c>
      <c r="E1" s="20" t="s">
        <v>1778</v>
      </c>
      <c r="F1" s="20" t="s">
        <v>261</v>
      </c>
    </row>
    <row r="2" spans="1:6" ht="14.4">
      <c r="A2" s="268" t="s">
        <v>1779</v>
      </c>
      <c r="B2" s="280"/>
      <c r="C2" s="280"/>
      <c r="D2" s="280"/>
      <c r="E2" s="280"/>
      <c r="F2" s="280"/>
    </row>
    <row r="3" spans="1:6" ht="28.8">
      <c r="A3" s="268" t="s">
        <v>496</v>
      </c>
      <c r="B3" s="280"/>
      <c r="C3" s="280"/>
      <c r="D3" s="280"/>
      <c r="E3" s="280"/>
      <c r="F3" s="280"/>
    </row>
    <row r="4" spans="1:6" ht="14.4">
      <c r="A4" s="268" t="s">
        <v>752</v>
      </c>
      <c r="B4" s="280"/>
      <c r="C4" s="280"/>
      <c r="D4" s="280"/>
      <c r="E4" s="280"/>
      <c r="F4" s="280"/>
    </row>
    <row r="5" spans="1:6" ht="14.4">
      <c r="A5" s="268" t="s">
        <v>93</v>
      </c>
      <c r="B5" s="280"/>
      <c r="C5" s="280"/>
      <c r="D5" s="280"/>
      <c r="E5" s="280"/>
      <c r="F5" s="280"/>
    </row>
    <row r="6" spans="1:6" ht="14.4">
      <c r="A6" s="268" t="s">
        <v>13</v>
      </c>
      <c r="B6" s="280"/>
      <c r="C6" s="280"/>
      <c r="D6" s="280"/>
      <c r="E6" s="280"/>
      <c r="F6" s="280"/>
    </row>
    <row r="7" spans="1:6" ht="14.4">
      <c r="A7" s="268" t="s">
        <v>262</v>
      </c>
      <c r="B7" s="280"/>
      <c r="C7" s="280"/>
      <c r="D7" s="280"/>
      <c r="E7" s="280"/>
      <c r="F7" s="280"/>
    </row>
  </sheetData>
  <phoneticPr fontId="1" type="noConversion"/>
  <pageMargins left="0.7" right="0.7" top="0.75" bottom="0.75" header="0.3" footer="0.3"/>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codeName="Sheet404">
    <tabColor rgb="FFFFC000"/>
  </sheetPr>
  <dimension ref="A1:F4"/>
  <sheetViews>
    <sheetView workbookViewId="0">
      <selection activeCell="E26" sqref="E26"/>
    </sheetView>
  </sheetViews>
  <sheetFormatPr defaultRowHeight="13.8"/>
  <cols>
    <col min="1" max="2" width="8.88671875" style="365"/>
    <col min="3" max="6" width="24.33203125" style="365" customWidth="1"/>
    <col min="7" max="16384" width="8.88671875" style="365"/>
  </cols>
  <sheetData>
    <row r="1" spans="1:6" ht="14.4">
      <c r="A1" s="363" t="s">
        <v>28</v>
      </c>
      <c r="B1" s="363" t="s">
        <v>3377</v>
      </c>
      <c r="C1" s="364" t="s">
        <v>1781</v>
      </c>
      <c r="D1" s="364" t="s">
        <v>1780</v>
      </c>
      <c r="E1" s="364" t="s">
        <v>1782</v>
      </c>
      <c r="F1" s="364" t="s">
        <v>1783</v>
      </c>
    </row>
    <row r="2" spans="1:6" ht="14.4">
      <c r="A2" s="366"/>
      <c r="B2" s="367" t="s">
        <v>2782</v>
      </c>
      <c r="C2" s="366"/>
      <c r="D2" s="366"/>
      <c r="E2" s="366"/>
      <c r="F2" s="366"/>
    </row>
    <row r="3" spans="1:6" ht="14.4">
      <c r="A3" s="366"/>
      <c r="B3" s="367" t="s">
        <v>2783</v>
      </c>
      <c r="C3" s="366"/>
      <c r="D3" s="366"/>
      <c r="E3" s="368"/>
      <c r="F3" s="366"/>
    </row>
    <row r="4" spans="1:6">
      <c r="A4" s="65"/>
      <c r="B4" s="65"/>
      <c r="C4" s="65"/>
      <c r="D4" s="65"/>
      <c r="E4" s="65"/>
      <c r="F4" s="65"/>
    </row>
  </sheetData>
  <phoneticPr fontId="1"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codeName="Sheet405">
    <tabColor rgb="FFFFC000"/>
  </sheetPr>
  <dimension ref="A1:C8"/>
  <sheetViews>
    <sheetView workbookViewId="0">
      <selection activeCell="H25" sqref="H25"/>
    </sheetView>
  </sheetViews>
  <sheetFormatPr defaultRowHeight="13.8"/>
  <cols>
    <col min="1" max="3" width="16.77734375" customWidth="1"/>
  </cols>
  <sheetData>
    <row r="1" spans="1:3" ht="14.4">
      <c r="A1" s="74" t="s">
        <v>28</v>
      </c>
      <c r="B1" s="74" t="s">
        <v>199</v>
      </c>
      <c r="C1" s="74" t="s">
        <v>200</v>
      </c>
    </row>
    <row r="2" spans="1:3" ht="14.4">
      <c r="A2" s="316" t="s">
        <v>1784</v>
      </c>
      <c r="B2" s="362"/>
      <c r="C2" s="362"/>
    </row>
    <row r="3" spans="1:3" ht="14.4">
      <c r="A3" s="316" t="s">
        <v>9</v>
      </c>
      <c r="B3" s="362"/>
      <c r="C3" s="362"/>
    </row>
    <row r="4" spans="1:3" ht="14.4">
      <c r="A4" s="316" t="s">
        <v>10</v>
      </c>
      <c r="B4" s="362"/>
      <c r="C4" s="362"/>
    </row>
    <row r="5" spans="1:3" ht="14.4">
      <c r="A5" s="316" t="s">
        <v>93</v>
      </c>
      <c r="B5" s="362"/>
      <c r="C5" s="362"/>
    </row>
    <row r="6" spans="1:3" ht="14.4">
      <c r="A6" s="316" t="s">
        <v>528</v>
      </c>
      <c r="B6" s="362"/>
      <c r="C6" s="362"/>
    </row>
    <row r="7" spans="1:3" ht="14.4">
      <c r="A7" s="316" t="s">
        <v>735</v>
      </c>
      <c r="B7" s="362"/>
      <c r="C7" s="362"/>
    </row>
    <row r="8" spans="1:3">
      <c r="A8" s="362" t="s">
        <v>2</v>
      </c>
      <c r="B8" s="362"/>
      <c r="C8" s="362"/>
    </row>
  </sheetData>
  <phoneticPr fontId="1"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codeName="Sheet406">
    <tabColor rgb="FFFFC000"/>
  </sheetPr>
  <dimension ref="A1:G5"/>
  <sheetViews>
    <sheetView workbookViewId="0">
      <selection activeCell="G26" sqref="G26"/>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39" t="s">
        <v>28</v>
      </c>
      <c r="B1" s="239" t="s">
        <v>1785</v>
      </c>
      <c r="C1" s="238" t="s">
        <v>1781</v>
      </c>
      <c r="D1" s="238" t="s">
        <v>1780</v>
      </c>
      <c r="E1" s="238" t="s">
        <v>1782</v>
      </c>
      <c r="F1" s="238" t="s">
        <v>1783</v>
      </c>
      <c r="G1" s="18"/>
    </row>
    <row r="2" spans="1:7" ht="28.8">
      <c r="A2" s="317"/>
      <c r="B2" s="300" t="s">
        <v>1786</v>
      </c>
      <c r="C2" s="317"/>
      <c r="D2" s="317"/>
      <c r="E2" s="317"/>
      <c r="F2" s="317"/>
      <c r="G2" s="18"/>
    </row>
    <row r="3" spans="1:7" ht="28.8">
      <c r="A3" s="317"/>
      <c r="B3" s="300" t="s">
        <v>1787</v>
      </c>
      <c r="C3" s="317"/>
      <c r="D3" s="317"/>
      <c r="E3" s="317"/>
      <c r="F3" s="317"/>
      <c r="G3" s="18"/>
    </row>
    <row r="4" spans="1:7">
      <c r="A4" s="55"/>
      <c r="B4" s="55"/>
      <c r="C4" s="55"/>
      <c r="D4" s="55"/>
      <c r="E4" s="55"/>
      <c r="F4" s="55"/>
      <c r="G4" s="18"/>
    </row>
    <row r="5" spans="1:7">
      <c r="A5" s="18"/>
      <c r="B5" s="18"/>
      <c r="C5" s="18"/>
      <c r="D5" s="18"/>
      <c r="E5" s="18"/>
      <c r="F5" s="18"/>
      <c r="G5" s="18"/>
    </row>
  </sheetData>
  <phoneticPr fontId="1"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codeName="Sheet407">
    <tabColor rgb="FFFFC000"/>
  </sheetPr>
  <dimension ref="A1:E35"/>
  <sheetViews>
    <sheetView workbookViewId="0">
      <pane xSplit="1" ySplit="1" topLeftCell="B14" activePane="bottomRight" state="frozen"/>
      <selection activeCell="D22" sqref="D22"/>
      <selection pane="topRight" activeCell="D22" sqref="D22"/>
      <selection pane="bottomLeft" activeCell="D22" sqref="D22"/>
      <selection pane="bottomRight" activeCell="H41" sqref="H41"/>
    </sheetView>
  </sheetViews>
  <sheetFormatPr defaultRowHeight="13.8"/>
  <cols>
    <col min="1" max="1" width="56.21875" customWidth="1"/>
  </cols>
  <sheetData>
    <row r="1" spans="1:5" ht="21.6">
      <c r="A1" s="26" t="s">
        <v>28</v>
      </c>
      <c r="B1" s="24" t="s">
        <v>1796</v>
      </c>
      <c r="C1" s="24" t="s">
        <v>1797</v>
      </c>
      <c r="D1" s="24" t="s">
        <v>1798</v>
      </c>
      <c r="E1" s="26" t="s">
        <v>3375</v>
      </c>
    </row>
    <row r="2" spans="1:5">
      <c r="A2" s="23" t="s">
        <v>1790</v>
      </c>
      <c r="B2" s="309"/>
      <c r="C2" s="309"/>
      <c r="D2" s="309"/>
      <c r="E2" s="309"/>
    </row>
    <row r="3" spans="1:5">
      <c r="A3" s="23" t="s">
        <v>3251</v>
      </c>
      <c r="B3" s="309"/>
      <c r="C3" s="309"/>
      <c r="D3" s="309"/>
      <c r="E3" s="309"/>
    </row>
    <row r="4" spans="1:5">
      <c r="A4" s="23" t="s">
        <v>3252</v>
      </c>
      <c r="B4" s="309"/>
      <c r="C4" s="309"/>
      <c r="D4" s="309"/>
      <c r="E4" s="309"/>
    </row>
    <row r="5" spans="1:5">
      <c r="A5" s="23" t="s">
        <v>1791</v>
      </c>
      <c r="B5" s="309"/>
      <c r="C5" s="309"/>
      <c r="D5" s="309"/>
      <c r="E5" s="309"/>
    </row>
    <row r="6" spans="1:5">
      <c r="A6" s="23" t="s">
        <v>201</v>
      </c>
      <c r="B6" s="309"/>
      <c r="C6" s="309"/>
      <c r="D6" s="309"/>
      <c r="E6" s="309"/>
    </row>
    <row r="7" spans="1:5">
      <c r="A7" s="23" t="s">
        <v>420</v>
      </c>
      <c r="B7" s="309"/>
      <c r="C7" s="309"/>
      <c r="D7" s="309"/>
      <c r="E7" s="309"/>
    </row>
    <row r="8" spans="1:5">
      <c r="A8" s="23" t="s">
        <v>3253</v>
      </c>
      <c r="B8" s="309"/>
      <c r="C8" s="309"/>
      <c r="D8" s="309"/>
      <c r="E8" s="309"/>
    </row>
    <row r="9" spans="1:5">
      <c r="A9" s="23" t="s">
        <v>1791</v>
      </c>
      <c r="B9" s="309"/>
      <c r="C9" s="309"/>
      <c r="D9" s="309"/>
      <c r="E9" s="309"/>
    </row>
    <row r="10" spans="1:5">
      <c r="A10" s="23" t="s">
        <v>13</v>
      </c>
      <c r="B10" s="309"/>
      <c r="C10" s="309"/>
      <c r="D10" s="309"/>
      <c r="E10" s="309"/>
    </row>
    <row r="11" spans="1:5">
      <c r="A11" s="23" t="s">
        <v>3254</v>
      </c>
      <c r="B11" s="309"/>
      <c r="C11" s="309"/>
      <c r="D11" s="309"/>
      <c r="E11" s="309"/>
    </row>
    <row r="12" spans="1:5">
      <c r="A12" s="23" t="s">
        <v>3255</v>
      </c>
      <c r="B12" s="309"/>
      <c r="C12" s="309"/>
      <c r="D12" s="309"/>
      <c r="E12" s="309"/>
    </row>
    <row r="13" spans="1:5">
      <c r="A13" s="23" t="s">
        <v>3256</v>
      </c>
      <c r="B13" s="309"/>
      <c r="C13" s="309"/>
      <c r="D13" s="309"/>
      <c r="E13" s="309"/>
    </row>
    <row r="14" spans="1:5">
      <c r="A14" s="23" t="s">
        <v>3257</v>
      </c>
      <c r="B14" s="309"/>
      <c r="C14" s="309"/>
      <c r="D14" s="309"/>
      <c r="E14" s="309"/>
    </row>
    <row r="15" spans="1:5">
      <c r="A15" s="23" t="s">
        <v>3258</v>
      </c>
      <c r="B15" s="309"/>
      <c r="C15" s="309"/>
      <c r="D15" s="309"/>
      <c r="E15" s="309"/>
    </row>
    <row r="16" spans="1:5">
      <c r="A16" s="23" t="s">
        <v>3259</v>
      </c>
      <c r="B16" s="309"/>
      <c r="C16" s="309"/>
      <c r="D16" s="309"/>
      <c r="E16" s="309"/>
    </row>
    <row r="17" spans="1:5">
      <c r="A17" s="23" t="s">
        <v>3260</v>
      </c>
      <c r="B17" s="309"/>
      <c r="C17" s="309"/>
      <c r="D17" s="309"/>
      <c r="E17" s="309"/>
    </row>
    <row r="18" spans="1:5">
      <c r="A18" s="23" t="s">
        <v>3261</v>
      </c>
      <c r="B18" s="309"/>
      <c r="C18" s="309"/>
      <c r="D18" s="309"/>
      <c r="E18" s="309"/>
    </row>
    <row r="19" spans="1:5">
      <c r="A19" s="23" t="s">
        <v>3262</v>
      </c>
      <c r="B19" s="309"/>
      <c r="C19" s="309"/>
      <c r="D19" s="309"/>
      <c r="E19" s="309"/>
    </row>
    <row r="20" spans="1:5">
      <c r="A20" s="23" t="s">
        <v>13</v>
      </c>
      <c r="B20" s="309"/>
      <c r="C20" s="309"/>
      <c r="D20" s="309"/>
      <c r="E20" s="309"/>
    </row>
    <row r="21" spans="1:5">
      <c r="A21" s="23" t="s">
        <v>1792</v>
      </c>
      <c r="B21" s="309"/>
      <c r="C21" s="309"/>
      <c r="D21" s="309"/>
      <c r="E21" s="309"/>
    </row>
    <row r="22" spans="1:5">
      <c r="A22" s="23" t="s">
        <v>3263</v>
      </c>
      <c r="B22" s="309"/>
      <c r="C22" s="309"/>
      <c r="D22" s="309"/>
      <c r="E22" s="309"/>
    </row>
    <row r="23" spans="1:5">
      <c r="A23" s="23" t="s">
        <v>3264</v>
      </c>
      <c r="B23" s="309"/>
      <c r="C23" s="309"/>
      <c r="D23" s="309"/>
      <c r="E23" s="309"/>
    </row>
    <row r="24" spans="1:5">
      <c r="A24" s="23" t="s">
        <v>1793</v>
      </c>
      <c r="B24" s="309"/>
      <c r="C24" s="309"/>
      <c r="D24" s="309"/>
      <c r="E24" s="309"/>
    </row>
    <row r="25" spans="1:5">
      <c r="A25" s="23" t="s">
        <v>1015</v>
      </c>
      <c r="B25" s="309"/>
      <c r="C25" s="309"/>
      <c r="D25" s="309"/>
      <c r="E25" s="309"/>
    </row>
    <row r="26" spans="1:5">
      <c r="A26" s="23" t="s">
        <v>13</v>
      </c>
      <c r="B26" s="309"/>
      <c r="C26" s="309"/>
      <c r="D26" s="309"/>
      <c r="E26" s="309"/>
    </row>
    <row r="27" spans="1:5">
      <c r="A27" s="23" t="s">
        <v>3265</v>
      </c>
      <c r="B27" s="309"/>
      <c r="C27" s="309"/>
      <c r="D27" s="309"/>
      <c r="E27" s="309"/>
    </row>
    <row r="28" spans="1:5">
      <c r="A28" s="23" t="s">
        <v>13</v>
      </c>
      <c r="B28" s="309"/>
      <c r="C28" s="309"/>
      <c r="D28" s="309"/>
      <c r="E28" s="309"/>
    </row>
    <row r="29" spans="1:5">
      <c r="A29" s="23" t="s">
        <v>1788</v>
      </c>
      <c r="B29" s="309"/>
      <c r="C29" s="309"/>
      <c r="D29" s="309"/>
      <c r="E29" s="309"/>
    </row>
    <row r="30" spans="1:5">
      <c r="A30" s="23" t="s">
        <v>1794</v>
      </c>
      <c r="B30" s="309"/>
      <c r="C30" s="309"/>
      <c r="D30" s="309"/>
      <c r="E30" s="309"/>
    </row>
    <row r="31" spans="1:5">
      <c r="A31" s="23" t="s">
        <v>913</v>
      </c>
      <c r="B31" s="309"/>
      <c r="C31" s="309"/>
      <c r="D31" s="309"/>
      <c r="E31" s="309"/>
    </row>
    <row r="32" spans="1:5">
      <c r="A32" s="23" t="s">
        <v>13</v>
      </c>
      <c r="B32" s="309"/>
      <c r="C32" s="309"/>
      <c r="D32" s="309"/>
      <c r="E32" s="309"/>
    </row>
    <row r="33" spans="1:5">
      <c r="A33" s="23" t="s">
        <v>1795</v>
      </c>
      <c r="B33" s="309"/>
      <c r="C33" s="309"/>
      <c r="D33" s="309"/>
      <c r="E33" s="309"/>
    </row>
    <row r="34" spans="1:5">
      <c r="A34" s="23" t="s">
        <v>13</v>
      </c>
      <c r="B34" s="309"/>
      <c r="C34" s="309"/>
      <c r="D34" s="309"/>
      <c r="E34" s="309"/>
    </row>
    <row r="35" spans="1:5">
      <c r="A35" s="23" t="s">
        <v>1789</v>
      </c>
      <c r="B35" s="309"/>
      <c r="C35" s="309"/>
      <c r="D35" s="309"/>
      <c r="E35" s="309"/>
    </row>
  </sheetData>
  <phoneticPr fontId="1"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codeName="Sheet408">
    <tabColor rgb="FFFFC000"/>
  </sheetPr>
  <dimension ref="A1:H8"/>
  <sheetViews>
    <sheetView workbookViewId="0">
      <selection activeCell="F27" sqref="F27"/>
    </sheetView>
  </sheetViews>
  <sheetFormatPr defaultRowHeight="13.8"/>
  <cols>
    <col min="5" max="5" width="27.109375" bestFit="1" customWidth="1"/>
    <col min="6" max="6" width="31.44140625" bestFit="1" customWidth="1"/>
    <col min="8" max="8" width="18.33203125" bestFit="1" customWidth="1"/>
  </cols>
  <sheetData>
    <row r="1" spans="1:8">
      <c r="A1" t="s">
        <v>95</v>
      </c>
      <c r="B1" t="s">
        <v>200</v>
      </c>
      <c r="C1" t="s">
        <v>1799</v>
      </c>
      <c r="D1" t="s">
        <v>1800</v>
      </c>
      <c r="E1" t="s">
        <v>1801</v>
      </c>
      <c r="F1" t="s">
        <v>1802</v>
      </c>
      <c r="G1" t="s">
        <v>199</v>
      </c>
      <c r="H1" t="s">
        <v>1803</v>
      </c>
    </row>
    <row r="2" spans="1:8">
      <c r="A2" s="255"/>
      <c r="B2" s="255"/>
      <c r="C2" s="255"/>
      <c r="D2" s="255"/>
      <c r="E2" s="255"/>
      <c r="F2" s="255"/>
      <c r="G2" s="255"/>
      <c r="H2" s="255"/>
    </row>
    <row r="3" spans="1:8">
      <c r="A3" s="255"/>
      <c r="B3" s="255"/>
      <c r="C3" s="255"/>
      <c r="D3" s="255"/>
      <c r="E3" s="255"/>
      <c r="F3" s="255"/>
      <c r="G3" s="255"/>
      <c r="H3" s="255"/>
    </row>
    <row r="4" spans="1:8">
      <c r="A4" s="255"/>
      <c r="B4" s="255"/>
      <c r="C4" s="255"/>
      <c r="D4" s="255"/>
      <c r="E4" s="255"/>
      <c r="F4" s="255"/>
      <c r="G4" s="255"/>
      <c r="H4" s="255"/>
    </row>
    <row r="5" spans="1:8">
      <c r="A5" s="255"/>
      <c r="B5" s="255"/>
      <c r="C5" s="255"/>
      <c r="D5" s="255"/>
      <c r="E5" s="255"/>
      <c r="F5" s="255"/>
      <c r="G5" s="255"/>
      <c r="H5" s="255"/>
    </row>
    <row r="6" spans="1:8">
      <c r="A6" s="255"/>
      <c r="B6" s="255"/>
      <c r="C6" s="255"/>
      <c r="D6" s="255"/>
      <c r="E6" s="255"/>
      <c r="F6" s="255"/>
      <c r="G6" s="255"/>
      <c r="H6" s="255"/>
    </row>
    <row r="7" spans="1:8">
      <c r="A7" s="255"/>
      <c r="B7" s="255"/>
      <c r="C7" s="255"/>
      <c r="D7" s="255"/>
      <c r="E7" s="255"/>
      <c r="F7" s="255"/>
      <c r="G7" s="255"/>
      <c r="H7" s="255"/>
    </row>
    <row r="8" spans="1:8">
      <c r="A8" s="255"/>
      <c r="B8" s="255"/>
      <c r="C8" s="255"/>
      <c r="D8" s="255"/>
      <c r="E8" s="255"/>
      <c r="F8" s="255"/>
      <c r="G8" s="255"/>
      <c r="H8" s="255"/>
    </row>
  </sheetData>
  <phoneticPr fontId="1"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codeName="Sheet409">
    <tabColor rgb="FFFFC000"/>
  </sheetPr>
  <dimension ref="A1:H11"/>
  <sheetViews>
    <sheetView workbookViewId="0">
      <selection activeCell="D25" sqref="D25"/>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28</v>
      </c>
      <c r="B1" s="32" t="s">
        <v>216</v>
      </c>
      <c r="C1" s="20" t="s">
        <v>1806</v>
      </c>
      <c r="D1" s="32" t="s">
        <v>221</v>
      </c>
      <c r="E1" s="20" t="s">
        <v>1805</v>
      </c>
      <c r="F1" s="20" t="s">
        <v>1804</v>
      </c>
      <c r="G1" s="241" t="s">
        <v>1807</v>
      </c>
      <c r="H1" s="18"/>
    </row>
    <row r="2" spans="1:8" ht="14.4">
      <c r="A2" s="268"/>
      <c r="B2" s="268"/>
      <c r="C2" s="268"/>
      <c r="D2" s="268"/>
      <c r="E2" s="268"/>
      <c r="F2" s="268"/>
      <c r="G2" s="246"/>
      <c r="H2" s="18"/>
    </row>
    <row r="3" spans="1:8" ht="14.4">
      <c r="A3" s="255"/>
      <c r="B3" s="361"/>
      <c r="C3" s="361"/>
      <c r="D3" s="361"/>
      <c r="E3" s="361"/>
      <c r="F3" s="268"/>
      <c r="G3" s="246"/>
      <c r="H3" s="18"/>
    </row>
    <row r="4" spans="1:8" ht="14.4">
      <c r="A4" s="268"/>
      <c r="B4" s="268"/>
      <c r="C4" s="268"/>
      <c r="D4" s="268"/>
      <c r="E4" s="268"/>
      <c r="F4" s="268"/>
      <c r="G4" s="246"/>
      <c r="H4" s="18"/>
    </row>
    <row r="5" spans="1:8" ht="14.4">
      <c r="A5" s="255"/>
      <c r="B5" s="361"/>
      <c r="C5" s="361"/>
      <c r="D5" s="361"/>
      <c r="E5" s="361"/>
      <c r="F5" s="268"/>
      <c r="G5" s="246"/>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codeName="Sheet410">
    <tabColor rgb="FFFFC000"/>
  </sheetPr>
  <dimension ref="A1:C6"/>
  <sheetViews>
    <sheetView workbookViewId="0">
      <selection activeCell="C31" sqref="C31"/>
    </sheetView>
  </sheetViews>
  <sheetFormatPr defaultRowHeight="13.8"/>
  <cols>
    <col min="1" max="1" width="33.6640625" bestFit="1" customWidth="1"/>
    <col min="2" max="3" width="37.109375" customWidth="1"/>
  </cols>
  <sheetData>
    <row r="1" spans="1:3" ht="14.4">
      <c r="A1" s="20" t="s">
        <v>28</v>
      </c>
      <c r="B1" s="20" t="s">
        <v>199</v>
      </c>
      <c r="C1" s="20" t="s">
        <v>200</v>
      </c>
    </row>
    <row r="2" spans="1:3" ht="14.4">
      <c r="A2" s="44" t="s">
        <v>1809</v>
      </c>
      <c r="B2" s="275"/>
      <c r="C2" s="275"/>
    </row>
    <row r="3" spans="1:3" ht="14.4">
      <c r="A3" s="44" t="s">
        <v>1810</v>
      </c>
      <c r="B3" s="275"/>
      <c r="C3" s="275"/>
    </row>
    <row r="4" spans="1:3" ht="14.4">
      <c r="A4" s="44" t="s">
        <v>1811</v>
      </c>
      <c r="B4" s="275"/>
      <c r="C4" s="275"/>
    </row>
    <row r="5" spans="1:3" ht="14.4">
      <c r="A5" s="44" t="s">
        <v>1812</v>
      </c>
      <c r="B5" s="275"/>
      <c r="C5" s="275"/>
    </row>
    <row r="6" spans="1:3" ht="14.4">
      <c r="A6" s="20" t="s">
        <v>204</v>
      </c>
      <c r="B6" s="50">
        <f>SUM(B2:B5)</f>
        <v>0</v>
      </c>
      <c r="C6" s="50">
        <f>SUM(C2:C5)</f>
        <v>0</v>
      </c>
    </row>
  </sheetData>
  <phoneticPr fontId="1" type="noConversion"/>
  <pageMargins left="0.7" right="0.7" top="0.75" bottom="0.75" header="0.3" footer="0.3"/>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codeName="Sheet411">
    <tabColor rgb="FFFFC000"/>
  </sheetPr>
  <dimension ref="A1:F17"/>
  <sheetViews>
    <sheetView workbookViewId="0">
      <selection activeCell="C6" sqref="C6"/>
    </sheetView>
  </sheetViews>
  <sheetFormatPr defaultRowHeight="13.8"/>
  <cols>
    <col min="1" max="1" width="55.5546875" bestFit="1" customWidth="1"/>
    <col min="5" max="5" width="11" customWidth="1"/>
  </cols>
  <sheetData>
    <row r="1" spans="1:6" ht="14.4">
      <c r="A1" t="s">
        <v>28</v>
      </c>
      <c r="B1" s="20" t="s">
        <v>1814</v>
      </c>
      <c r="C1" s="20" t="s">
        <v>1815</v>
      </c>
      <c r="D1" s="20" t="s">
        <v>1816</v>
      </c>
      <c r="E1" s="20" t="s">
        <v>1813</v>
      </c>
      <c r="F1" s="20" t="s">
        <v>204</v>
      </c>
    </row>
    <row r="2" spans="1:6" ht="15">
      <c r="A2" s="242" t="s">
        <v>1817</v>
      </c>
      <c r="B2" s="307"/>
      <c r="C2" s="274"/>
      <c r="D2" s="274"/>
      <c r="E2" s="275"/>
      <c r="F2" s="307"/>
    </row>
    <row r="3" spans="1:6" ht="15">
      <c r="A3" s="242" t="s">
        <v>3249</v>
      </c>
      <c r="B3" s="307"/>
      <c r="C3" s="274"/>
      <c r="D3" s="274"/>
      <c r="E3" s="275"/>
      <c r="F3" s="307"/>
    </row>
    <row r="4" spans="1:6" ht="15">
      <c r="A4" s="242" t="s">
        <v>3250</v>
      </c>
      <c r="B4" s="307"/>
      <c r="C4" s="274"/>
      <c r="D4" s="274"/>
      <c r="E4" s="275"/>
      <c r="F4" s="307"/>
    </row>
    <row r="5" spans="1:6" ht="15">
      <c r="A5" s="242" t="s">
        <v>1818</v>
      </c>
      <c r="B5" s="307"/>
      <c r="C5" s="274"/>
      <c r="D5" s="274"/>
      <c r="E5" s="275"/>
      <c r="F5" s="307"/>
    </row>
    <row r="6" spans="1:6" ht="15">
      <c r="A6" s="242" t="s">
        <v>1819</v>
      </c>
      <c r="B6" s="307"/>
      <c r="C6" s="274"/>
      <c r="D6" s="274"/>
      <c r="E6" s="275"/>
      <c r="F6" s="307"/>
    </row>
    <row r="7" spans="1:6" ht="15">
      <c r="A7" s="242" t="s">
        <v>1820</v>
      </c>
      <c r="B7" s="255"/>
      <c r="C7" s="255"/>
      <c r="D7" s="255"/>
      <c r="E7" s="255"/>
      <c r="F7" s="255"/>
    </row>
    <row r="8" spans="1:6" ht="15">
      <c r="A8" s="242" t="s">
        <v>1821</v>
      </c>
      <c r="B8" s="255"/>
      <c r="C8" s="255"/>
      <c r="D8" s="255"/>
      <c r="E8" s="255"/>
      <c r="F8" s="255"/>
    </row>
    <row r="9" spans="1:6" ht="15">
      <c r="A9" s="242" t="s">
        <v>1822</v>
      </c>
      <c r="B9" s="255"/>
      <c r="C9" s="255"/>
      <c r="D9" s="255"/>
      <c r="E9" s="255"/>
      <c r="F9" s="255"/>
    </row>
    <row r="10" spans="1:6" ht="15">
      <c r="A10" s="242" t="s">
        <v>1823</v>
      </c>
      <c r="B10" s="255"/>
      <c r="C10" s="255"/>
      <c r="D10" s="255"/>
      <c r="E10" s="255"/>
      <c r="F10" s="255"/>
    </row>
    <row r="11" spans="1:6" ht="15">
      <c r="A11" s="242" t="s">
        <v>1824</v>
      </c>
      <c r="B11" s="255"/>
      <c r="C11" s="255"/>
      <c r="D11" s="255"/>
      <c r="E11" s="255"/>
      <c r="F11" s="255"/>
    </row>
    <row r="12" spans="1:6" ht="15">
      <c r="A12" s="242" t="s">
        <v>1825</v>
      </c>
      <c r="B12" s="255"/>
      <c r="C12" s="255"/>
      <c r="D12" s="255"/>
      <c r="E12" s="255"/>
      <c r="F12" s="255"/>
    </row>
    <row r="13" spans="1:6" ht="15">
      <c r="A13" s="242" t="s">
        <v>1826</v>
      </c>
      <c r="B13" s="255"/>
      <c r="C13" s="255"/>
      <c r="D13" s="255"/>
      <c r="E13" s="255"/>
      <c r="F13" s="255"/>
    </row>
    <row r="14" spans="1:6" ht="15">
      <c r="A14" s="242" t="s">
        <v>1827</v>
      </c>
      <c r="B14" s="255"/>
      <c r="C14" s="255"/>
      <c r="D14" s="255"/>
      <c r="E14" s="255"/>
      <c r="F14" s="255"/>
    </row>
    <row r="15" spans="1:6" ht="15">
      <c r="A15" s="242" t="s">
        <v>1828</v>
      </c>
      <c r="B15" s="255"/>
      <c r="C15" s="255"/>
      <c r="D15" s="255"/>
      <c r="E15" s="255"/>
      <c r="F15" s="255"/>
    </row>
    <row r="16" spans="1:6" ht="15">
      <c r="A16" s="242" t="s">
        <v>1829</v>
      </c>
      <c r="B16" s="255"/>
      <c r="C16" s="255"/>
      <c r="D16" s="255"/>
      <c r="E16" s="255"/>
      <c r="F16" s="255"/>
    </row>
    <row r="17" spans="1:6" ht="15">
      <c r="A17" s="242" t="s">
        <v>1830</v>
      </c>
      <c r="B17" s="255"/>
      <c r="C17" s="255"/>
      <c r="D17" s="255"/>
      <c r="E17" s="255"/>
      <c r="F17" s="25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sheetPr codeName="Sheet3"/>
  <dimension ref="A1:N1199"/>
  <sheetViews>
    <sheetView workbookViewId="0">
      <selection activeCell="E13" sqref="E13"/>
    </sheetView>
  </sheetViews>
  <sheetFormatPr defaultRowHeight="13.8"/>
  <cols>
    <col min="1" max="1" width="40.21875" style="246" bestFit="1" customWidth="1"/>
    <col min="2" max="2" width="27.109375" style="150" customWidth="1"/>
    <col min="3" max="3" width="40.6640625" style="246" customWidth="1"/>
    <col min="4" max="4" width="8.88671875" style="246"/>
    <col min="5" max="5" width="27" style="246" customWidth="1"/>
    <col min="6" max="6" width="7.77734375" style="246" bestFit="1" customWidth="1"/>
    <col min="7" max="7" width="17.109375" style="138" bestFit="1" customWidth="1"/>
    <col min="8" max="11" width="18.109375" style="138" bestFit="1" customWidth="1"/>
    <col min="12" max="12" width="8.88671875" style="138"/>
    <col min="13" max="13" width="17.109375" style="138" bestFit="1" customWidth="1"/>
    <col min="14" max="16384" width="8.88671875" style="18"/>
  </cols>
  <sheetData>
    <row r="1" spans="1:14">
      <c r="A1" s="246" t="s">
        <v>166</v>
      </c>
      <c r="B1" s="136" t="s">
        <v>783</v>
      </c>
      <c r="C1" s="246" t="s">
        <v>784</v>
      </c>
      <c r="D1" s="246" t="s">
        <v>785</v>
      </c>
      <c r="E1" s="246" t="s">
        <v>786</v>
      </c>
      <c r="F1" s="246" t="s">
        <v>787</v>
      </c>
      <c r="G1" s="138" t="s">
        <v>578</v>
      </c>
      <c r="H1" s="138" t="s">
        <v>788</v>
      </c>
      <c r="I1" s="138" t="s">
        <v>789</v>
      </c>
      <c r="J1" s="138" t="s">
        <v>790</v>
      </c>
      <c r="K1" s="138" t="s">
        <v>791</v>
      </c>
      <c r="L1" s="138" t="s">
        <v>787</v>
      </c>
      <c r="M1" s="138" t="s">
        <v>390</v>
      </c>
      <c r="N1" s="1"/>
    </row>
    <row r="2" spans="1:14">
      <c r="B2" s="150" t="str">
        <f>_xlfn.IFNA(VLOOKUP(D2,标准编码!A:B,2,0),"")</f>
        <v/>
      </c>
    </row>
    <row r="3" spans="1:14">
      <c r="B3" s="150" t="str">
        <f>_xlfn.IFNA(VLOOKUP(D3,标准编码!A:B,2,0),"")</f>
        <v/>
      </c>
    </row>
    <row r="4" spans="1:14">
      <c r="B4" s="150" t="str">
        <f>_xlfn.IFNA(VLOOKUP(D4,标准编码!A:B,2,0),"")</f>
        <v/>
      </c>
    </row>
    <row r="5" spans="1:14">
      <c r="B5" s="150" t="str">
        <f>_xlfn.IFNA(VLOOKUP(D5,标准编码!A:B,2,0),"")</f>
        <v/>
      </c>
    </row>
    <row r="6" spans="1:14">
      <c r="B6" s="150" t="str">
        <f>_xlfn.IFNA(VLOOKUP(D6,标准编码!A:B,2,0),"")</f>
        <v/>
      </c>
    </row>
    <row r="7" spans="1:14">
      <c r="B7" s="150" t="str">
        <f>_xlfn.IFNA(VLOOKUP(D7,标准编码!A:B,2,0),"")</f>
        <v/>
      </c>
    </row>
    <row r="8" spans="1:14">
      <c r="B8" s="150" t="str">
        <f>_xlfn.IFNA(VLOOKUP(D8,标准编码!A:B,2,0),"")</f>
        <v/>
      </c>
    </row>
    <row r="9" spans="1:14">
      <c r="B9" s="150" t="str">
        <f>_xlfn.IFNA(VLOOKUP(D9,标准编码!A:B,2,0),"")</f>
        <v/>
      </c>
    </row>
    <row r="10" spans="1:14">
      <c r="B10" s="150" t="str">
        <f>_xlfn.IFNA(VLOOKUP(D10,标准编码!A:B,2,0),"")</f>
        <v/>
      </c>
    </row>
    <row r="11" spans="1:14">
      <c r="B11" s="150" t="str">
        <f>_xlfn.IFNA(VLOOKUP(D11,标准编码!A:B,2,0),"")</f>
        <v/>
      </c>
    </row>
    <row r="12" spans="1:14">
      <c r="B12" s="150" t="str">
        <f>_xlfn.IFNA(VLOOKUP(D12,标准编码!A:B,2,0),"")</f>
        <v/>
      </c>
    </row>
    <row r="13" spans="1:14">
      <c r="B13" s="150" t="str">
        <f>_xlfn.IFNA(VLOOKUP(D13,标准编码!A:B,2,0),"")</f>
        <v/>
      </c>
    </row>
    <row r="14" spans="1:14">
      <c r="B14" s="150" t="str">
        <f>_xlfn.IFNA(VLOOKUP(D14,标准编码!A:B,2,0),"")</f>
        <v/>
      </c>
    </row>
    <row r="15" spans="1:14">
      <c r="B15" s="150" t="str">
        <f>_xlfn.IFNA(VLOOKUP(D15,标准编码!A:B,2,0),"")</f>
        <v/>
      </c>
    </row>
    <row r="16" spans="1:14">
      <c r="B16" s="150" t="str">
        <f>_xlfn.IFNA(VLOOKUP(D16,标准编码!A:B,2,0),"")</f>
        <v/>
      </c>
    </row>
    <row r="17" spans="2:2">
      <c r="B17" s="150" t="str">
        <f>_xlfn.IFNA(VLOOKUP(D17,标准编码!A:B,2,0),"")</f>
        <v/>
      </c>
    </row>
    <row r="18" spans="2:2">
      <c r="B18" s="150" t="str">
        <f>_xlfn.IFNA(VLOOKUP(D18,标准编码!A:B,2,0),"")</f>
        <v/>
      </c>
    </row>
    <row r="19" spans="2:2">
      <c r="B19" s="150" t="str">
        <f>_xlfn.IFNA(VLOOKUP(D19,标准编码!A:B,2,0),"")</f>
        <v/>
      </c>
    </row>
    <row r="20" spans="2:2">
      <c r="B20" s="150" t="str">
        <f>_xlfn.IFNA(VLOOKUP(D20,标准编码!A:B,2,0),"")</f>
        <v/>
      </c>
    </row>
    <row r="21" spans="2:2">
      <c r="B21" s="150" t="str">
        <f>_xlfn.IFNA(VLOOKUP(D21,标准编码!A:B,2,0),"")</f>
        <v/>
      </c>
    </row>
    <row r="22" spans="2:2">
      <c r="B22" s="150" t="str">
        <f>_xlfn.IFNA(VLOOKUP(D22,标准编码!A:B,2,0),"")</f>
        <v/>
      </c>
    </row>
    <row r="23" spans="2:2">
      <c r="B23" s="150" t="str">
        <f>_xlfn.IFNA(VLOOKUP(D23,标准编码!A:B,2,0),"")</f>
        <v/>
      </c>
    </row>
    <row r="24" spans="2:2">
      <c r="B24" s="150" t="str">
        <f>_xlfn.IFNA(VLOOKUP(D24,标准编码!A:B,2,0),"")</f>
        <v/>
      </c>
    </row>
    <row r="25" spans="2:2">
      <c r="B25" s="150" t="str">
        <f>_xlfn.IFNA(VLOOKUP(D25,标准编码!A:B,2,0),"")</f>
        <v/>
      </c>
    </row>
    <row r="26" spans="2:2">
      <c r="B26" s="150" t="str">
        <f>_xlfn.IFNA(VLOOKUP(D26,标准编码!A:B,2,0),"")</f>
        <v/>
      </c>
    </row>
    <row r="27" spans="2:2">
      <c r="B27" s="150" t="str">
        <f>_xlfn.IFNA(VLOOKUP(D27,标准编码!A:B,2,0),"")</f>
        <v/>
      </c>
    </row>
    <row r="28" spans="2:2">
      <c r="B28" s="150" t="str">
        <f>_xlfn.IFNA(VLOOKUP(D28,标准编码!A:B,2,0),"")</f>
        <v/>
      </c>
    </row>
    <row r="29" spans="2:2">
      <c r="B29" s="150" t="str">
        <f>_xlfn.IFNA(VLOOKUP(D29,标准编码!A:B,2,0),"")</f>
        <v/>
      </c>
    </row>
    <row r="30" spans="2:2">
      <c r="B30" s="150" t="str">
        <f>_xlfn.IFNA(VLOOKUP(D30,标准编码!A:B,2,0),"")</f>
        <v/>
      </c>
    </row>
    <row r="31" spans="2:2">
      <c r="B31" s="150" t="str">
        <f>_xlfn.IFNA(VLOOKUP(D31,标准编码!A:B,2,0),"")</f>
        <v/>
      </c>
    </row>
    <row r="32" spans="2:2">
      <c r="B32" s="150" t="str">
        <f>_xlfn.IFNA(VLOOKUP(D32,标准编码!A:B,2,0),"")</f>
        <v/>
      </c>
    </row>
    <row r="33" spans="2:2">
      <c r="B33" s="150" t="str">
        <f>_xlfn.IFNA(VLOOKUP(D33,标准编码!A:B,2,0),"")</f>
        <v/>
      </c>
    </row>
    <row r="34" spans="2:2">
      <c r="B34" s="150" t="str">
        <f>_xlfn.IFNA(VLOOKUP(D34,标准编码!A:B,2,0),"")</f>
        <v/>
      </c>
    </row>
    <row r="35" spans="2:2">
      <c r="B35" s="150" t="str">
        <f>_xlfn.IFNA(VLOOKUP(D35,标准编码!A:B,2,0),"")</f>
        <v/>
      </c>
    </row>
    <row r="36" spans="2:2">
      <c r="B36" s="150" t="str">
        <f>_xlfn.IFNA(VLOOKUP(D36,标准编码!A:B,2,0),"")</f>
        <v/>
      </c>
    </row>
    <row r="37" spans="2:2">
      <c r="B37" s="150" t="str">
        <f>_xlfn.IFNA(VLOOKUP(D37,标准编码!A:B,2,0),"")</f>
        <v/>
      </c>
    </row>
    <row r="38" spans="2:2">
      <c r="B38" s="150" t="str">
        <f>_xlfn.IFNA(VLOOKUP(D38,标准编码!A:B,2,0),"")</f>
        <v/>
      </c>
    </row>
    <row r="39" spans="2:2">
      <c r="B39" s="150" t="str">
        <f>_xlfn.IFNA(VLOOKUP(D39,标准编码!A:B,2,0),"")</f>
        <v/>
      </c>
    </row>
    <row r="40" spans="2:2">
      <c r="B40" s="150" t="str">
        <f>_xlfn.IFNA(VLOOKUP(D40,标准编码!A:B,2,0),"")</f>
        <v/>
      </c>
    </row>
    <row r="41" spans="2:2">
      <c r="B41" s="150" t="str">
        <f>_xlfn.IFNA(VLOOKUP(D41,标准编码!A:B,2,0),"")</f>
        <v/>
      </c>
    </row>
    <row r="42" spans="2:2">
      <c r="B42" s="150" t="str">
        <f>_xlfn.IFNA(VLOOKUP(D42,标准编码!A:B,2,0),"")</f>
        <v/>
      </c>
    </row>
    <row r="43" spans="2:2">
      <c r="B43" s="150" t="str">
        <f>_xlfn.IFNA(VLOOKUP(D43,标准编码!A:B,2,0),"")</f>
        <v/>
      </c>
    </row>
    <row r="44" spans="2:2">
      <c r="B44" s="150" t="str">
        <f>_xlfn.IFNA(VLOOKUP(D44,标准编码!A:B,2,0),"")</f>
        <v/>
      </c>
    </row>
    <row r="45" spans="2:2">
      <c r="B45" s="150" t="str">
        <f>_xlfn.IFNA(VLOOKUP(D45,标准编码!A:B,2,0),"")</f>
        <v/>
      </c>
    </row>
    <row r="46" spans="2:2">
      <c r="B46" s="150" t="str">
        <f>_xlfn.IFNA(VLOOKUP(D46,标准编码!A:B,2,0),"")</f>
        <v/>
      </c>
    </row>
    <row r="47" spans="2:2">
      <c r="B47" s="150" t="str">
        <f>_xlfn.IFNA(VLOOKUP(D47,标准编码!A:B,2,0),"")</f>
        <v/>
      </c>
    </row>
    <row r="48" spans="2:2">
      <c r="B48" s="150" t="str">
        <f>_xlfn.IFNA(VLOOKUP(D48,标准编码!A:B,2,0),"")</f>
        <v/>
      </c>
    </row>
    <row r="49" spans="2:2">
      <c r="B49" s="150" t="str">
        <f>_xlfn.IFNA(VLOOKUP(D49,标准编码!A:B,2,0),"")</f>
        <v/>
      </c>
    </row>
    <row r="50" spans="2:2">
      <c r="B50" s="150" t="str">
        <f>_xlfn.IFNA(VLOOKUP(D50,标准编码!A:B,2,0),"")</f>
        <v/>
      </c>
    </row>
    <row r="51" spans="2:2">
      <c r="B51" s="150" t="str">
        <f>_xlfn.IFNA(VLOOKUP(D51,标准编码!A:B,2,0),"")</f>
        <v/>
      </c>
    </row>
    <row r="52" spans="2:2">
      <c r="B52" s="150" t="str">
        <f>_xlfn.IFNA(VLOOKUP(D52,标准编码!A:B,2,0),"")</f>
        <v/>
      </c>
    </row>
    <row r="53" spans="2:2">
      <c r="B53" s="150" t="str">
        <f>_xlfn.IFNA(VLOOKUP(D53,标准编码!A:B,2,0),"")</f>
        <v/>
      </c>
    </row>
    <row r="54" spans="2:2">
      <c r="B54" s="150" t="str">
        <f>_xlfn.IFNA(VLOOKUP(D54,标准编码!A:B,2,0),"")</f>
        <v/>
      </c>
    </row>
    <row r="55" spans="2:2">
      <c r="B55" s="150" t="str">
        <f>_xlfn.IFNA(VLOOKUP(D55,标准编码!A:B,2,0),"")</f>
        <v/>
      </c>
    </row>
    <row r="56" spans="2:2">
      <c r="B56" s="150" t="str">
        <f>_xlfn.IFNA(VLOOKUP(D56,标准编码!A:B,2,0),"")</f>
        <v/>
      </c>
    </row>
    <row r="57" spans="2:2">
      <c r="B57" s="150" t="str">
        <f>_xlfn.IFNA(VLOOKUP(D57,标准编码!A:B,2,0),"")</f>
        <v/>
      </c>
    </row>
    <row r="58" spans="2:2">
      <c r="B58" s="150" t="str">
        <f>_xlfn.IFNA(VLOOKUP(D58,标准编码!A:B,2,0),"")</f>
        <v/>
      </c>
    </row>
    <row r="59" spans="2:2">
      <c r="B59" s="150" t="str">
        <f>_xlfn.IFNA(VLOOKUP(D59,标准编码!A:B,2,0),"")</f>
        <v/>
      </c>
    </row>
    <row r="60" spans="2:2">
      <c r="B60" s="150" t="str">
        <f>_xlfn.IFNA(VLOOKUP(D60,标准编码!A:B,2,0),"")</f>
        <v/>
      </c>
    </row>
    <row r="61" spans="2:2">
      <c r="B61" s="150" t="str">
        <f>_xlfn.IFNA(VLOOKUP(D61,标准编码!A:B,2,0),"")</f>
        <v/>
      </c>
    </row>
    <row r="62" spans="2:2">
      <c r="B62" s="150" t="str">
        <f>_xlfn.IFNA(VLOOKUP(D62,标准编码!A:B,2,0),"")</f>
        <v/>
      </c>
    </row>
    <row r="63" spans="2:2">
      <c r="B63" s="150" t="str">
        <f>_xlfn.IFNA(VLOOKUP(D63,标准编码!A:B,2,0),"")</f>
        <v/>
      </c>
    </row>
    <row r="64" spans="2:2">
      <c r="B64" s="150" t="str">
        <f>_xlfn.IFNA(VLOOKUP(D64,标准编码!A:B,2,0),"")</f>
        <v/>
      </c>
    </row>
    <row r="65" spans="2:2">
      <c r="B65" s="150" t="str">
        <f>_xlfn.IFNA(VLOOKUP(D65,标准编码!A:B,2,0),"")</f>
        <v/>
      </c>
    </row>
    <row r="66" spans="2:2">
      <c r="B66" s="150" t="str">
        <f>_xlfn.IFNA(VLOOKUP(D66,标准编码!A:B,2,0),"")</f>
        <v/>
      </c>
    </row>
    <row r="67" spans="2:2">
      <c r="B67" s="150" t="str">
        <f>_xlfn.IFNA(VLOOKUP(D67,标准编码!A:B,2,0),"")</f>
        <v/>
      </c>
    </row>
    <row r="68" spans="2:2">
      <c r="B68" s="150" t="str">
        <f>_xlfn.IFNA(VLOOKUP(D68,标准编码!A:B,2,0),"")</f>
        <v/>
      </c>
    </row>
    <row r="69" spans="2:2">
      <c r="B69" s="150" t="str">
        <f>_xlfn.IFNA(VLOOKUP(D69,标准编码!A:B,2,0),"")</f>
        <v/>
      </c>
    </row>
    <row r="70" spans="2:2">
      <c r="B70" s="150" t="str">
        <f>_xlfn.IFNA(VLOOKUP(D70,标准编码!A:B,2,0),"")</f>
        <v/>
      </c>
    </row>
    <row r="71" spans="2:2">
      <c r="B71" s="150" t="str">
        <f>_xlfn.IFNA(VLOOKUP(D71,标准编码!A:B,2,0),"")</f>
        <v/>
      </c>
    </row>
    <row r="72" spans="2:2">
      <c r="B72" s="150" t="str">
        <f>_xlfn.IFNA(VLOOKUP(D72,标准编码!A:B,2,0),"")</f>
        <v/>
      </c>
    </row>
    <row r="73" spans="2:2">
      <c r="B73" s="150" t="str">
        <f>_xlfn.IFNA(VLOOKUP(D73,标准编码!A:B,2,0),"")</f>
        <v/>
      </c>
    </row>
    <row r="74" spans="2:2">
      <c r="B74" s="150" t="str">
        <f>_xlfn.IFNA(VLOOKUP(D74,标准编码!A:B,2,0),"")</f>
        <v/>
      </c>
    </row>
    <row r="75" spans="2:2">
      <c r="B75" s="150" t="str">
        <f>_xlfn.IFNA(VLOOKUP(D75,标准编码!A:B,2,0),"")</f>
        <v/>
      </c>
    </row>
    <row r="76" spans="2:2">
      <c r="B76" s="150" t="str">
        <f>_xlfn.IFNA(VLOOKUP(D76,标准编码!A:B,2,0),"")</f>
        <v/>
      </c>
    </row>
    <row r="77" spans="2:2">
      <c r="B77" s="150" t="str">
        <f>_xlfn.IFNA(VLOOKUP(D77,标准编码!A:B,2,0),"")</f>
        <v/>
      </c>
    </row>
    <row r="78" spans="2:2">
      <c r="B78" s="150" t="str">
        <f>_xlfn.IFNA(VLOOKUP(D78,标准编码!A:B,2,0),"")</f>
        <v/>
      </c>
    </row>
    <row r="79" spans="2:2">
      <c r="B79" s="150" t="str">
        <f>_xlfn.IFNA(VLOOKUP(D79,标准编码!A:B,2,0),"")</f>
        <v/>
      </c>
    </row>
    <row r="80" spans="2:2">
      <c r="B80" s="150" t="str">
        <f>_xlfn.IFNA(VLOOKUP(D80,标准编码!A:B,2,0),"")</f>
        <v/>
      </c>
    </row>
    <row r="81" spans="2:2">
      <c r="B81" s="150" t="str">
        <f>_xlfn.IFNA(VLOOKUP(D81,标准编码!A:B,2,0),"")</f>
        <v/>
      </c>
    </row>
    <row r="82" spans="2:2">
      <c r="B82" s="150" t="str">
        <f>_xlfn.IFNA(VLOOKUP(D82,标准编码!A:B,2,0),"")</f>
        <v/>
      </c>
    </row>
    <row r="83" spans="2:2">
      <c r="B83" s="150" t="str">
        <f>_xlfn.IFNA(VLOOKUP(D83,标准编码!A:B,2,0),"")</f>
        <v/>
      </c>
    </row>
    <row r="84" spans="2:2">
      <c r="B84" s="150" t="str">
        <f>_xlfn.IFNA(VLOOKUP(D84,标准编码!A:B,2,0),"")</f>
        <v/>
      </c>
    </row>
    <row r="85" spans="2:2">
      <c r="B85" s="150" t="str">
        <f>_xlfn.IFNA(VLOOKUP(D85,标准编码!A:B,2,0),"")</f>
        <v/>
      </c>
    </row>
    <row r="86" spans="2:2">
      <c r="B86" s="150" t="str">
        <f>_xlfn.IFNA(VLOOKUP(D86,标准编码!A:B,2,0),"")</f>
        <v/>
      </c>
    </row>
    <row r="87" spans="2:2">
      <c r="B87" s="150" t="str">
        <f>_xlfn.IFNA(VLOOKUP(D87,标准编码!A:B,2,0),"")</f>
        <v/>
      </c>
    </row>
    <row r="88" spans="2:2">
      <c r="B88" s="150" t="str">
        <f>_xlfn.IFNA(VLOOKUP(D88,标准编码!A:B,2,0),"")</f>
        <v/>
      </c>
    </row>
    <row r="89" spans="2:2">
      <c r="B89" s="150" t="str">
        <f>_xlfn.IFNA(VLOOKUP(D89,标准编码!A:B,2,0),"")</f>
        <v/>
      </c>
    </row>
    <row r="90" spans="2:2">
      <c r="B90" s="150" t="str">
        <f>_xlfn.IFNA(VLOOKUP(D90,标准编码!A:B,2,0),"")</f>
        <v/>
      </c>
    </row>
    <row r="91" spans="2:2">
      <c r="B91" s="150" t="str">
        <f>_xlfn.IFNA(VLOOKUP(D91,标准编码!A:B,2,0),"")</f>
        <v/>
      </c>
    </row>
    <row r="92" spans="2:2">
      <c r="B92" s="150" t="str">
        <f>_xlfn.IFNA(VLOOKUP(D92,标准编码!A:B,2,0),"")</f>
        <v/>
      </c>
    </row>
    <row r="93" spans="2:2">
      <c r="B93" s="150" t="str">
        <f>_xlfn.IFNA(VLOOKUP(D93,标准编码!A:B,2,0),"")</f>
        <v/>
      </c>
    </row>
    <row r="94" spans="2:2">
      <c r="B94" s="150" t="str">
        <f>_xlfn.IFNA(VLOOKUP(D94,标准编码!A:B,2,0),"")</f>
        <v/>
      </c>
    </row>
    <row r="95" spans="2:2">
      <c r="B95" s="150" t="str">
        <f>_xlfn.IFNA(VLOOKUP(D95,标准编码!A:B,2,0),"")</f>
        <v/>
      </c>
    </row>
    <row r="96" spans="2:2">
      <c r="B96" s="150" t="str">
        <f>_xlfn.IFNA(VLOOKUP(D96,标准编码!A:B,2,0),"")</f>
        <v/>
      </c>
    </row>
    <row r="97" spans="2:2">
      <c r="B97" s="150" t="str">
        <f>_xlfn.IFNA(VLOOKUP(D97,标准编码!A:B,2,0),"")</f>
        <v/>
      </c>
    </row>
    <row r="98" spans="2:2">
      <c r="B98" s="150" t="str">
        <f>_xlfn.IFNA(VLOOKUP(D98,标准编码!A:B,2,0),"")</f>
        <v/>
      </c>
    </row>
    <row r="99" spans="2:2">
      <c r="B99" s="150" t="str">
        <f>_xlfn.IFNA(VLOOKUP(D99,标准编码!A:B,2,0),"")</f>
        <v/>
      </c>
    </row>
    <row r="100" spans="2:2">
      <c r="B100" s="150" t="str">
        <f>_xlfn.IFNA(VLOOKUP(D100,标准编码!A:B,2,0),"")</f>
        <v/>
      </c>
    </row>
    <row r="101" spans="2:2">
      <c r="B101" s="150" t="str">
        <f>_xlfn.IFNA(VLOOKUP(D101,标准编码!A:B,2,0),"")</f>
        <v/>
      </c>
    </row>
    <row r="102" spans="2:2">
      <c r="B102" s="150" t="str">
        <f>_xlfn.IFNA(VLOOKUP(D102,标准编码!A:B,2,0),"")</f>
        <v/>
      </c>
    </row>
    <row r="103" spans="2:2">
      <c r="B103" s="150" t="str">
        <f>_xlfn.IFNA(VLOOKUP(D103,标准编码!A:B,2,0),"")</f>
        <v/>
      </c>
    </row>
    <row r="104" spans="2:2">
      <c r="B104" s="150" t="str">
        <f>_xlfn.IFNA(VLOOKUP(D104,标准编码!A:B,2,0),"")</f>
        <v/>
      </c>
    </row>
    <row r="105" spans="2:2">
      <c r="B105" s="150" t="str">
        <f>_xlfn.IFNA(VLOOKUP(D105,标准编码!A:B,2,0),"")</f>
        <v/>
      </c>
    </row>
    <row r="106" spans="2:2">
      <c r="B106" s="150" t="str">
        <f>_xlfn.IFNA(VLOOKUP(D106,标准编码!A:B,2,0),"")</f>
        <v/>
      </c>
    </row>
    <row r="107" spans="2:2">
      <c r="B107" s="150" t="str">
        <f>_xlfn.IFNA(VLOOKUP(D107,标准编码!A:B,2,0),"")</f>
        <v/>
      </c>
    </row>
    <row r="108" spans="2:2">
      <c r="B108" s="150" t="str">
        <f>_xlfn.IFNA(VLOOKUP(D108,标准编码!A:B,2,0),"")</f>
        <v/>
      </c>
    </row>
    <row r="109" spans="2:2">
      <c r="B109" s="150" t="str">
        <f>_xlfn.IFNA(VLOOKUP(D109,标准编码!A:B,2,0),"")</f>
        <v/>
      </c>
    </row>
    <row r="110" spans="2:2">
      <c r="B110" s="150" t="str">
        <f>_xlfn.IFNA(VLOOKUP(D110,标准编码!A:B,2,0),"")</f>
        <v/>
      </c>
    </row>
    <row r="111" spans="2:2">
      <c r="B111" s="150" t="str">
        <f>_xlfn.IFNA(VLOOKUP(D111,标准编码!A:B,2,0),"")</f>
        <v/>
      </c>
    </row>
    <row r="112" spans="2:2">
      <c r="B112" s="150" t="str">
        <f>_xlfn.IFNA(VLOOKUP(D112,标准编码!A:B,2,0),"")</f>
        <v/>
      </c>
    </row>
    <row r="113" spans="2:2">
      <c r="B113" s="150" t="str">
        <f>_xlfn.IFNA(VLOOKUP(D113,标准编码!A:B,2,0),"")</f>
        <v/>
      </c>
    </row>
    <row r="114" spans="2:2">
      <c r="B114" s="150" t="str">
        <f>_xlfn.IFNA(VLOOKUP(D114,标准编码!A:B,2,0),"")</f>
        <v/>
      </c>
    </row>
    <row r="115" spans="2:2">
      <c r="B115" s="150" t="str">
        <f>_xlfn.IFNA(VLOOKUP(D115,标准编码!A:B,2,0),"")</f>
        <v/>
      </c>
    </row>
    <row r="116" spans="2:2">
      <c r="B116" s="150" t="str">
        <f>_xlfn.IFNA(VLOOKUP(D116,标准编码!A:B,2,0),"")</f>
        <v/>
      </c>
    </row>
    <row r="117" spans="2:2">
      <c r="B117" s="150" t="str">
        <f>_xlfn.IFNA(VLOOKUP(D117,标准编码!A:B,2,0),"")</f>
        <v/>
      </c>
    </row>
    <row r="118" spans="2:2">
      <c r="B118" s="150" t="str">
        <f>_xlfn.IFNA(VLOOKUP(D118,标准编码!A:B,2,0),"")</f>
        <v/>
      </c>
    </row>
    <row r="119" spans="2:2">
      <c r="B119" s="150" t="str">
        <f>_xlfn.IFNA(VLOOKUP(D119,标准编码!A:B,2,0),"")</f>
        <v/>
      </c>
    </row>
    <row r="120" spans="2:2">
      <c r="B120" s="150" t="str">
        <f>_xlfn.IFNA(VLOOKUP(D120,标准编码!A:B,2,0),"")</f>
        <v/>
      </c>
    </row>
    <row r="121" spans="2:2">
      <c r="B121" s="150" t="str">
        <f>_xlfn.IFNA(VLOOKUP(D121,标准编码!A:B,2,0),"")</f>
        <v/>
      </c>
    </row>
    <row r="122" spans="2:2">
      <c r="B122" s="150" t="str">
        <f>_xlfn.IFNA(VLOOKUP(D122,标准编码!A:B,2,0),"")</f>
        <v/>
      </c>
    </row>
    <row r="123" spans="2:2">
      <c r="B123" s="150" t="str">
        <f>_xlfn.IFNA(VLOOKUP(D123,标准编码!A:B,2,0),"")</f>
        <v/>
      </c>
    </row>
    <row r="124" spans="2:2">
      <c r="B124" s="150" t="str">
        <f>_xlfn.IFNA(VLOOKUP(D124,标准编码!A:B,2,0),"")</f>
        <v/>
      </c>
    </row>
    <row r="125" spans="2:2">
      <c r="B125" s="150" t="str">
        <f>_xlfn.IFNA(VLOOKUP(D125,标准编码!A:B,2,0),"")</f>
        <v/>
      </c>
    </row>
    <row r="126" spans="2:2">
      <c r="B126" s="150" t="str">
        <f>_xlfn.IFNA(VLOOKUP(D126,标准编码!A:B,2,0),"")</f>
        <v/>
      </c>
    </row>
    <row r="127" spans="2:2">
      <c r="B127" s="150" t="str">
        <f>_xlfn.IFNA(VLOOKUP(D127,标准编码!A:B,2,0),"")</f>
        <v/>
      </c>
    </row>
    <row r="128" spans="2:2">
      <c r="B128" s="150" t="str">
        <f>_xlfn.IFNA(VLOOKUP(D128,标准编码!A:B,2,0),"")</f>
        <v/>
      </c>
    </row>
    <row r="129" spans="2:2">
      <c r="B129" s="150" t="str">
        <f>_xlfn.IFNA(VLOOKUP(D129,标准编码!A:B,2,0),"")</f>
        <v/>
      </c>
    </row>
    <row r="130" spans="2:2">
      <c r="B130" s="150" t="str">
        <f>_xlfn.IFNA(VLOOKUP(D130,标准编码!A:B,2,0),"")</f>
        <v/>
      </c>
    </row>
    <row r="131" spans="2:2">
      <c r="B131" s="150" t="str">
        <f>_xlfn.IFNA(VLOOKUP(D131,标准编码!A:B,2,0),"")</f>
        <v/>
      </c>
    </row>
    <row r="132" spans="2:2">
      <c r="B132" s="150" t="str">
        <f>_xlfn.IFNA(VLOOKUP(D132,标准编码!A:B,2,0),"")</f>
        <v/>
      </c>
    </row>
    <row r="133" spans="2:2">
      <c r="B133" s="150" t="str">
        <f>_xlfn.IFNA(VLOOKUP(D133,标准编码!A:B,2,0),"")</f>
        <v/>
      </c>
    </row>
    <row r="134" spans="2:2">
      <c r="B134" s="150" t="str">
        <f>_xlfn.IFNA(VLOOKUP(D134,标准编码!A:B,2,0),"")</f>
        <v/>
      </c>
    </row>
    <row r="135" spans="2:2">
      <c r="B135" s="150" t="str">
        <f>_xlfn.IFNA(VLOOKUP(D135,标准编码!A:B,2,0),"")</f>
        <v/>
      </c>
    </row>
    <row r="136" spans="2:2">
      <c r="B136" s="150" t="str">
        <f>_xlfn.IFNA(VLOOKUP(D136,标准编码!A:B,2,0),"")</f>
        <v/>
      </c>
    </row>
    <row r="137" spans="2:2">
      <c r="B137" s="150" t="str">
        <f>_xlfn.IFNA(VLOOKUP(D137,标准编码!A:B,2,0),"")</f>
        <v/>
      </c>
    </row>
    <row r="138" spans="2:2">
      <c r="B138" s="150" t="str">
        <f>_xlfn.IFNA(VLOOKUP(D138,标准编码!A:B,2,0),"")</f>
        <v/>
      </c>
    </row>
    <row r="139" spans="2:2">
      <c r="B139" s="150" t="str">
        <f>_xlfn.IFNA(VLOOKUP(D139,标准编码!A:B,2,0),"")</f>
        <v/>
      </c>
    </row>
    <row r="140" spans="2:2">
      <c r="B140" s="150" t="str">
        <f>_xlfn.IFNA(VLOOKUP(D140,标准编码!A:B,2,0),"")</f>
        <v/>
      </c>
    </row>
    <row r="141" spans="2:2">
      <c r="B141" s="150" t="str">
        <f>_xlfn.IFNA(VLOOKUP(D141,标准编码!A:B,2,0),"")</f>
        <v/>
      </c>
    </row>
    <row r="142" spans="2:2">
      <c r="B142" s="150" t="str">
        <f>_xlfn.IFNA(VLOOKUP(D142,标准编码!A:B,2,0),"")</f>
        <v/>
      </c>
    </row>
    <row r="143" spans="2:2">
      <c r="B143" s="150" t="str">
        <f>_xlfn.IFNA(VLOOKUP(D143,标准编码!A:B,2,0),"")</f>
        <v/>
      </c>
    </row>
    <row r="144" spans="2:2">
      <c r="B144" s="150" t="str">
        <f>_xlfn.IFNA(VLOOKUP(D144,标准编码!A:B,2,0),"")</f>
        <v/>
      </c>
    </row>
    <row r="145" spans="2:2">
      <c r="B145" s="150" t="str">
        <f>_xlfn.IFNA(VLOOKUP(D145,标准编码!A:B,2,0),"")</f>
        <v/>
      </c>
    </row>
    <row r="146" spans="2:2">
      <c r="B146" s="150" t="str">
        <f>_xlfn.IFNA(VLOOKUP(D146,标准编码!A:B,2,0),"")</f>
        <v/>
      </c>
    </row>
    <row r="147" spans="2:2">
      <c r="B147" s="150" t="str">
        <f>_xlfn.IFNA(VLOOKUP(D147,标准编码!A:B,2,0),"")</f>
        <v/>
      </c>
    </row>
    <row r="148" spans="2:2">
      <c r="B148" s="150" t="str">
        <f>_xlfn.IFNA(VLOOKUP(D148,标准编码!A:B,2,0),"")</f>
        <v/>
      </c>
    </row>
    <row r="149" spans="2:2">
      <c r="B149" s="150" t="str">
        <f>_xlfn.IFNA(VLOOKUP(D149,标准编码!A:B,2,0),"")</f>
        <v/>
      </c>
    </row>
    <row r="150" spans="2:2">
      <c r="B150" s="150" t="str">
        <f>_xlfn.IFNA(VLOOKUP(D150,标准编码!A:B,2,0),"")</f>
        <v/>
      </c>
    </row>
    <row r="151" spans="2:2">
      <c r="B151" s="150" t="str">
        <f>_xlfn.IFNA(VLOOKUP(D151,标准编码!A:B,2,0),"")</f>
        <v/>
      </c>
    </row>
    <row r="152" spans="2:2">
      <c r="B152" s="150" t="str">
        <f>_xlfn.IFNA(VLOOKUP(D152,标准编码!A:B,2,0),"")</f>
        <v/>
      </c>
    </row>
    <row r="153" spans="2:2">
      <c r="B153" s="150" t="str">
        <f>_xlfn.IFNA(VLOOKUP(D153,标准编码!A:B,2,0),"")</f>
        <v/>
      </c>
    </row>
    <row r="154" spans="2:2">
      <c r="B154" s="150" t="str">
        <f>_xlfn.IFNA(VLOOKUP(D154,标准编码!A:B,2,0),"")</f>
        <v/>
      </c>
    </row>
    <row r="155" spans="2:2">
      <c r="B155" s="150" t="str">
        <f>_xlfn.IFNA(VLOOKUP(D155,标准编码!A:B,2,0),"")</f>
        <v/>
      </c>
    </row>
    <row r="156" spans="2:2">
      <c r="B156" s="150" t="str">
        <f>_xlfn.IFNA(VLOOKUP(D156,标准编码!A:B,2,0),"")</f>
        <v/>
      </c>
    </row>
    <row r="157" spans="2:2">
      <c r="B157" s="150" t="str">
        <f>_xlfn.IFNA(VLOOKUP(D157,标准编码!A:B,2,0),"")</f>
        <v/>
      </c>
    </row>
    <row r="158" spans="2:2">
      <c r="B158" s="150" t="str">
        <f>_xlfn.IFNA(VLOOKUP(D158,标准编码!A:B,2,0),"")</f>
        <v/>
      </c>
    </row>
    <row r="159" spans="2:2">
      <c r="B159" s="150" t="str">
        <f>_xlfn.IFNA(VLOOKUP(D159,标准编码!A:B,2,0),"")</f>
        <v/>
      </c>
    </row>
    <row r="160" spans="2:2">
      <c r="B160" s="150" t="str">
        <f>_xlfn.IFNA(VLOOKUP(D160,标准编码!A:B,2,0),"")</f>
        <v/>
      </c>
    </row>
    <row r="161" spans="2:2">
      <c r="B161" s="150" t="str">
        <f>_xlfn.IFNA(VLOOKUP(D161,标准编码!A:B,2,0),"")</f>
        <v/>
      </c>
    </row>
    <row r="162" spans="2:2">
      <c r="B162" s="150" t="str">
        <f>_xlfn.IFNA(VLOOKUP(D162,标准编码!A:B,2,0),"")</f>
        <v/>
      </c>
    </row>
    <row r="163" spans="2:2">
      <c r="B163" s="150" t="str">
        <f>_xlfn.IFNA(VLOOKUP(D163,标准编码!A:B,2,0),"")</f>
        <v/>
      </c>
    </row>
    <row r="164" spans="2:2">
      <c r="B164" s="150" t="str">
        <f>_xlfn.IFNA(VLOOKUP(D164,标准编码!A:B,2,0),"")</f>
        <v/>
      </c>
    </row>
    <row r="165" spans="2:2">
      <c r="B165" s="150" t="str">
        <f>_xlfn.IFNA(VLOOKUP(D165,标准编码!A:B,2,0),"")</f>
        <v/>
      </c>
    </row>
    <row r="166" spans="2:2">
      <c r="B166" s="150" t="str">
        <f>_xlfn.IFNA(VLOOKUP(D166,标准编码!A:B,2,0),"")</f>
        <v/>
      </c>
    </row>
    <row r="167" spans="2:2">
      <c r="B167" s="150" t="str">
        <f>_xlfn.IFNA(VLOOKUP(D167,标准编码!A:B,2,0),"")</f>
        <v/>
      </c>
    </row>
    <row r="168" spans="2:2">
      <c r="B168" s="150" t="str">
        <f>_xlfn.IFNA(VLOOKUP(D168,标准编码!A:B,2,0),"")</f>
        <v/>
      </c>
    </row>
    <row r="169" spans="2:2">
      <c r="B169" s="150" t="str">
        <f>_xlfn.IFNA(VLOOKUP(D169,标准编码!A:B,2,0),"")</f>
        <v/>
      </c>
    </row>
    <row r="170" spans="2:2">
      <c r="B170" s="150" t="str">
        <f>_xlfn.IFNA(VLOOKUP(D170,标准编码!A:B,2,0),"")</f>
        <v/>
      </c>
    </row>
    <row r="171" spans="2:2">
      <c r="B171" s="150" t="str">
        <f>_xlfn.IFNA(VLOOKUP(D171,标准编码!A:B,2,0),"")</f>
        <v/>
      </c>
    </row>
    <row r="172" spans="2:2">
      <c r="B172" s="150" t="str">
        <f>_xlfn.IFNA(VLOOKUP(D172,标准编码!A:B,2,0),"")</f>
        <v/>
      </c>
    </row>
    <row r="173" spans="2:2">
      <c r="B173" s="150" t="str">
        <f>_xlfn.IFNA(VLOOKUP(D173,标准编码!A:B,2,0),"")</f>
        <v/>
      </c>
    </row>
    <row r="174" spans="2:2">
      <c r="B174" s="150" t="str">
        <f>_xlfn.IFNA(VLOOKUP(D174,标准编码!A:B,2,0),"")</f>
        <v/>
      </c>
    </row>
    <row r="175" spans="2:2">
      <c r="B175" s="150" t="str">
        <f>_xlfn.IFNA(VLOOKUP(D175,标准编码!A:B,2,0),"")</f>
        <v/>
      </c>
    </row>
    <row r="176" spans="2:2">
      <c r="B176" s="150" t="str">
        <f>_xlfn.IFNA(VLOOKUP(D176,标准编码!A:B,2,0),"")</f>
        <v/>
      </c>
    </row>
    <row r="177" spans="2:2">
      <c r="B177" s="150" t="str">
        <f>_xlfn.IFNA(VLOOKUP(D177,标准编码!A:B,2,0),"")</f>
        <v/>
      </c>
    </row>
    <row r="178" spans="2:2">
      <c r="B178" s="150" t="str">
        <f>_xlfn.IFNA(VLOOKUP(D178,标准编码!A:B,2,0),"")</f>
        <v/>
      </c>
    </row>
    <row r="179" spans="2:2">
      <c r="B179" s="150" t="str">
        <f>_xlfn.IFNA(VLOOKUP(D179,标准编码!A:B,2,0),"")</f>
        <v/>
      </c>
    </row>
    <row r="180" spans="2:2">
      <c r="B180" s="150" t="str">
        <f>_xlfn.IFNA(VLOOKUP(D180,标准编码!A:B,2,0),"")</f>
        <v/>
      </c>
    </row>
    <row r="181" spans="2:2">
      <c r="B181" s="150" t="str">
        <f>_xlfn.IFNA(VLOOKUP(D181,标准编码!A:B,2,0),"")</f>
        <v/>
      </c>
    </row>
    <row r="182" spans="2:2">
      <c r="B182" s="150" t="str">
        <f>_xlfn.IFNA(VLOOKUP(D182,标准编码!A:B,2,0),"")</f>
        <v/>
      </c>
    </row>
    <row r="183" spans="2:2">
      <c r="B183" s="150" t="str">
        <f>_xlfn.IFNA(VLOOKUP(D183,标准编码!A:B,2,0),"")</f>
        <v/>
      </c>
    </row>
    <row r="184" spans="2:2">
      <c r="B184" s="150" t="str">
        <f>_xlfn.IFNA(VLOOKUP(D184,标准编码!A:B,2,0),"")</f>
        <v/>
      </c>
    </row>
    <row r="185" spans="2:2">
      <c r="B185" s="150" t="str">
        <f>_xlfn.IFNA(VLOOKUP(D185,标准编码!A:B,2,0),"")</f>
        <v/>
      </c>
    </row>
    <row r="186" spans="2:2">
      <c r="B186" s="150" t="str">
        <f>_xlfn.IFNA(VLOOKUP(D186,标准编码!A:B,2,0),"")</f>
        <v/>
      </c>
    </row>
    <row r="187" spans="2:2">
      <c r="B187" s="150" t="str">
        <f>_xlfn.IFNA(VLOOKUP(D187,标准编码!A:B,2,0),"")</f>
        <v/>
      </c>
    </row>
    <row r="188" spans="2:2">
      <c r="B188" s="150" t="str">
        <f>_xlfn.IFNA(VLOOKUP(D188,标准编码!A:B,2,0),"")</f>
        <v/>
      </c>
    </row>
    <row r="189" spans="2:2">
      <c r="B189" s="150" t="str">
        <f>_xlfn.IFNA(VLOOKUP(D189,标准编码!A:B,2,0),"")</f>
        <v/>
      </c>
    </row>
    <row r="190" spans="2:2">
      <c r="B190" s="150" t="str">
        <f>_xlfn.IFNA(VLOOKUP(D190,标准编码!A:B,2,0),"")</f>
        <v/>
      </c>
    </row>
    <row r="191" spans="2:2">
      <c r="B191" s="150" t="str">
        <f>_xlfn.IFNA(VLOOKUP(D191,标准编码!A:B,2,0),"")</f>
        <v/>
      </c>
    </row>
    <row r="192" spans="2:2">
      <c r="B192" s="150" t="str">
        <f>_xlfn.IFNA(VLOOKUP(D192,标准编码!A:B,2,0),"")</f>
        <v/>
      </c>
    </row>
    <row r="193" spans="2:2">
      <c r="B193" s="150" t="str">
        <f>_xlfn.IFNA(VLOOKUP(D193,标准编码!A:B,2,0),"")</f>
        <v/>
      </c>
    </row>
    <row r="194" spans="2:2">
      <c r="B194" s="150" t="str">
        <f>_xlfn.IFNA(VLOOKUP(D194,标准编码!A:B,2,0),"")</f>
        <v/>
      </c>
    </row>
    <row r="195" spans="2:2">
      <c r="B195" s="150" t="str">
        <f>_xlfn.IFNA(VLOOKUP(D195,标准编码!A:B,2,0),"")</f>
        <v/>
      </c>
    </row>
    <row r="196" spans="2:2">
      <c r="B196" s="150" t="str">
        <f>_xlfn.IFNA(VLOOKUP(D196,标准编码!A:B,2,0),"")</f>
        <v/>
      </c>
    </row>
    <row r="197" spans="2:2">
      <c r="B197" s="150" t="str">
        <f>_xlfn.IFNA(VLOOKUP(D197,标准编码!A:B,2,0),"")</f>
        <v/>
      </c>
    </row>
    <row r="198" spans="2:2">
      <c r="B198" s="150" t="str">
        <f>_xlfn.IFNA(VLOOKUP(D198,标准编码!A:B,2,0),"")</f>
        <v/>
      </c>
    </row>
    <row r="199" spans="2:2">
      <c r="B199" s="150" t="str">
        <f>_xlfn.IFNA(VLOOKUP(D199,标准编码!A:B,2,0),"")</f>
        <v/>
      </c>
    </row>
    <row r="200" spans="2:2">
      <c r="B200" s="150" t="str">
        <f>_xlfn.IFNA(VLOOKUP(D200,标准编码!A:B,2,0),"")</f>
        <v/>
      </c>
    </row>
    <row r="201" spans="2:2">
      <c r="B201" s="150" t="str">
        <f>_xlfn.IFNA(VLOOKUP(D201,标准编码!A:B,2,0),"")</f>
        <v/>
      </c>
    </row>
    <row r="202" spans="2:2">
      <c r="B202" s="150" t="str">
        <f>_xlfn.IFNA(VLOOKUP(D202,标准编码!A:B,2,0),"")</f>
        <v/>
      </c>
    </row>
    <row r="203" spans="2:2">
      <c r="B203" s="150" t="str">
        <f>_xlfn.IFNA(VLOOKUP(D203,标准编码!A:B,2,0),"")</f>
        <v/>
      </c>
    </row>
    <row r="204" spans="2:2">
      <c r="B204" s="150" t="str">
        <f>_xlfn.IFNA(VLOOKUP(D204,标准编码!A:B,2,0),"")</f>
        <v/>
      </c>
    </row>
    <row r="205" spans="2:2">
      <c r="B205" s="150" t="str">
        <f>_xlfn.IFNA(VLOOKUP(D205,标准编码!A:B,2,0),"")</f>
        <v/>
      </c>
    </row>
    <row r="206" spans="2:2">
      <c r="B206" s="150" t="str">
        <f>_xlfn.IFNA(VLOOKUP(D206,标准编码!A:B,2,0),"")</f>
        <v/>
      </c>
    </row>
    <row r="207" spans="2:2">
      <c r="B207" s="150" t="str">
        <f>_xlfn.IFNA(VLOOKUP(D207,标准编码!A:B,2,0),"")</f>
        <v/>
      </c>
    </row>
    <row r="208" spans="2:2">
      <c r="B208" s="150" t="str">
        <f>_xlfn.IFNA(VLOOKUP(D208,标准编码!A:B,2,0),"")</f>
        <v/>
      </c>
    </row>
    <row r="209" spans="2:2">
      <c r="B209" s="150" t="str">
        <f>_xlfn.IFNA(VLOOKUP(D209,标准编码!A:B,2,0),"")</f>
        <v/>
      </c>
    </row>
    <row r="210" spans="2:2">
      <c r="B210" s="150" t="str">
        <f>_xlfn.IFNA(VLOOKUP(D210,标准编码!A:B,2,0),"")</f>
        <v/>
      </c>
    </row>
    <row r="211" spans="2:2">
      <c r="B211" s="150" t="str">
        <f>_xlfn.IFNA(VLOOKUP(D211,标准编码!A:B,2,0),"")</f>
        <v/>
      </c>
    </row>
    <row r="212" spans="2:2">
      <c r="B212" s="150" t="str">
        <f>_xlfn.IFNA(VLOOKUP(D212,标准编码!A:B,2,0),"")</f>
        <v/>
      </c>
    </row>
    <row r="213" spans="2:2">
      <c r="B213" s="150" t="str">
        <f>_xlfn.IFNA(VLOOKUP(D213,标准编码!A:B,2,0),"")</f>
        <v/>
      </c>
    </row>
    <row r="214" spans="2:2">
      <c r="B214" s="150" t="str">
        <f>_xlfn.IFNA(VLOOKUP(D214,标准编码!A:B,2,0),"")</f>
        <v/>
      </c>
    </row>
    <row r="215" spans="2:2">
      <c r="B215" s="150" t="str">
        <f>_xlfn.IFNA(VLOOKUP(D215,标准编码!A:B,2,0),"")</f>
        <v/>
      </c>
    </row>
    <row r="216" spans="2:2">
      <c r="B216" s="150" t="str">
        <f>_xlfn.IFNA(VLOOKUP(D216,标准编码!A:B,2,0),"")</f>
        <v/>
      </c>
    </row>
    <row r="217" spans="2:2">
      <c r="B217" s="150" t="str">
        <f>_xlfn.IFNA(VLOOKUP(D217,标准编码!A:B,2,0),"")</f>
        <v/>
      </c>
    </row>
    <row r="218" spans="2:2">
      <c r="B218" s="150" t="str">
        <f>_xlfn.IFNA(VLOOKUP(D218,标准编码!A:B,2,0),"")</f>
        <v/>
      </c>
    </row>
    <row r="219" spans="2:2">
      <c r="B219" s="150" t="str">
        <f>_xlfn.IFNA(VLOOKUP(D219,标准编码!A:B,2,0),"")</f>
        <v/>
      </c>
    </row>
    <row r="220" spans="2:2">
      <c r="B220" s="150" t="str">
        <f>_xlfn.IFNA(VLOOKUP(D220,标准编码!A:B,2,0),"")</f>
        <v/>
      </c>
    </row>
    <row r="221" spans="2:2">
      <c r="B221" s="150" t="str">
        <f>_xlfn.IFNA(VLOOKUP(D221,标准编码!A:B,2,0),"")</f>
        <v/>
      </c>
    </row>
    <row r="222" spans="2:2">
      <c r="B222" s="150" t="str">
        <f>_xlfn.IFNA(VLOOKUP(D222,标准编码!A:B,2,0),"")</f>
        <v/>
      </c>
    </row>
    <row r="223" spans="2:2">
      <c r="B223" s="150" t="str">
        <f>_xlfn.IFNA(VLOOKUP(D223,标准编码!A:B,2,0),"")</f>
        <v/>
      </c>
    </row>
    <row r="224" spans="2:2">
      <c r="B224" s="150" t="str">
        <f>_xlfn.IFNA(VLOOKUP(D224,标准编码!A:B,2,0),"")</f>
        <v/>
      </c>
    </row>
    <row r="225" spans="2:2">
      <c r="B225" s="150" t="str">
        <f>_xlfn.IFNA(VLOOKUP(D225,标准编码!A:B,2,0),"")</f>
        <v/>
      </c>
    </row>
    <row r="226" spans="2:2">
      <c r="B226" s="150" t="str">
        <f>_xlfn.IFNA(VLOOKUP(D226,标准编码!A:B,2,0),"")</f>
        <v/>
      </c>
    </row>
    <row r="227" spans="2:2">
      <c r="B227" s="150" t="str">
        <f>_xlfn.IFNA(VLOOKUP(D227,标准编码!A:B,2,0),"")</f>
        <v/>
      </c>
    </row>
    <row r="228" spans="2:2">
      <c r="B228" s="150" t="str">
        <f>_xlfn.IFNA(VLOOKUP(D228,标准编码!A:B,2,0),"")</f>
        <v/>
      </c>
    </row>
    <row r="229" spans="2:2">
      <c r="B229" s="150" t="str">
        <f>_xlfn.IFNA(VLOOKUP(D229,标准编码!A:B,2,0),"")</f>
        <v/>
      </c>
    </row>
    <row r="230" spans="2:2">
      <c r="B230" s="150" t="str">
        <f>_xlfn.IFNA(VLOOKUP(D230,标准编码!A:B,2,0),"")</f>
        <v/>
      </c>
    </row>
    <row r="231" spans="2:2">
      <c r="B231" s="150" t="str">
        <f>_xlfn.IFNA(VLOOKUP(D231,标准编码!A:B,2,0),"")</f>
        <v/>
      </c>
    </row>
    <row r="232" spans="2:2">
      <c r="B232" s="150" t="str">
        <f>_xlfn.IFNA(VLOOKUP(D232,标准编码!A:B,2,0),"")</f>
        <v/>
      </c>
    </row>
    <row r="233" spans="2:2">
      <c r="B233" s="150" t="str">
        <f>_xlfn.IFNA(VLOOKUP(D233,标准编码!A:B,2,0),"")</f>
        <v/>
      </c>
    </row>
    <row r="234" spans="2:2">
      <c r="B234" s="150" t="str">
        <f>_xlfn.IFNA(VLOOKUP(D234,标准编码!A:B,2,0),"")</f>
        <v/>
      </c>
    </row>
    <row r="235" spans="2:2">
      <c r="B235" s="150" t="str">
        <f>_xlfn.IFNA(VLOOKUP(D235,标准编码!A:B,2,0),"")</f>
        <v/>
      </c>
    </row>
    <row r="236" spans="2:2">
      <c r="B236" s="150" t="str">
        <f>_xlfn.IFNA(VLOOKUP(D236,标准编码!A:B,2,0),"")</f>
        <v/>
      </c>
    </row>
    <row r="237" spans="2:2">
      <c r="B237" s="150" t="str">
        <f>_xlfn.IFNA(VLOOKUP(D237,标准编码!A:B,2,0),"")</f>
        <v/>
      </c>
    </row>
    <row r="238" spans="2:2">
      <c r="B238" s="150" t="str">
        <f>_xlfn.IFNA(VLOOKUP(D238,标准编码!A:B,2,0),"")</f>
        <v/>
      </c>
    </row>
    <row r="239" spans="2:2">
      <c r="B239" s="150" t="str">
        <f>_xlfn.IFNA(VLOOKUP(D239,标准编码!A:B,2,0),"")</f>
        <v/>
      </c>
    </row>
    <row r="240" spans="2:2">
      <c r="B240" s="150" t="str">
        <f>_xlfn.IFNA(VLOOKUP(D240,标准编码!A:B,2,0),"")</f>
        <v/>
      </c>
    </row>
    <row r="241" spans="2:2">
      <c r="B241" s="150" t="str">
        <f>_xlfn.IFNA(VLOOKUP(D241,标准编码!A:B,2,0),"")</f>
        <v/>
      </c>
    </row>
    <row r="242" spans="2:2">
      <c r="B242" s="150" t="str">
        <f>_xlfn.IFNA(VLOOKUP(D242,标准编码!A:B,2,0),"")</f>
        <v/>
      </c>
    </row>
    <row r="243" spans="2:2">
      <c r="B243" s="150" t="str">
        <f>_xlfn.IFNA(VLOOKUP(D243,标准编码!A:B,2,0),"")</f>
        <v/>
      </c>
    </row>
    <row r="244" spans="2:2">
      <c r="B244" s="150" t="str">
        <f>_xlfn.IFNA(VLOOKUP(D244,标准编码!A:B,2,0),"")</f>
        <v/>
      </c>
    </row>
    <row r="245" spans="2:2">
      <c r="B245" s="150" t="str">
        <f>_xlfn.IFNA(VLOOKUP(D245,标准编码!A:B,2,0),"")</f>
        <v/>
      </c>
    </row>
    <row r="246" spans="2:2">
      <c r="B246" s="150" t="str">
        <f>_xlfn.IFNA(VLOOKUP(D246,标准编码!A:B,2,0),"")</f>
        <v/>
      </c>
    </row>
    <row r="247" spans="2:2">
      <c r="B247" s="150" t="str">
        <f>_xlfn.IFNA(VLOOKUP(D247,标准编码!A:B,2,0),"")</f>
        <v/>
      </c>
    </row>
    <row r="248" spans="2:2">
      <c r="B248" s="150" t="str">
        <f>_xlfn.IFNA(VLOOKUP(D248,标准编码!A:B,2,0),"")</f>
        <v/>
      </c>
    </row>
    <row r="249" spans="2:2">
      <c r="B249" s="150" t="str">
        <f>_xlfn.IFNA(VLOOKUP(D249,标准编码!A:B,2,0),"")</f>
        <v/>
      </c>
    </row>
    <row r="250" spans="2:2">
      <c r="B250" s="150" t="str">
        <f>_xlfn.IFNA(VLOOKUP(D250,标准编码!A:B,2,0),"")</f>
        <v/>
      </c>
    </row>
    <row r="251" spans="2:2">
      <c r="B251" s="150" t="str">
        <f>_xlfn.IFNA(VLOOKUP(D251,标准编码!A:B,2,0),"")</f>
        <v/>
      </c>
    </row>
    <row r="252" spans="2:2">
      <c r="B252" s="150" t="str">
        <f>_xlfn.IFNA(VLOOKUP(D252,标准编码!A:B,2,0),"")</f>
        <v/>
      </c>
    </row>
    <row r="253" spans="2:2">
      <c r="B253" s="150" t="str">
        <f>_xlfn.IFNA(VLOOKUP(D253,标准编码!A:B,2,0),"")</f>
        <v/>
      </c>
    </row>
    <row r="254" spans="2:2">
      <c r="B254" s="150" t="str">
        <f>_xlfn.IFNA(VLOOKUP(D254,标准编码!A:B,2,0),"")</f>
        <v/>
      </c>
    </row>
    <row r="255" spans="2:2">
      <c r="B255" s="150" t="str">
        <f>_xlfn.IFNA(VLOOKUP(D255,标准编码!A:B,2,0),"")</f>
        <v/>
      </c>
    </row>
    <row r="256" spans="2:2">
      <c r="B256" s="150" t="str">
        <f>_xlfn.IFNA(VLOOKUP(D256,标准编码!A:B,2,0),"")</f>
        <v/>
      </c>
    </row>
    <row r="257" spans="2:2">
      <c r="B257" s="150" t="str">
        <f>_xlfn.IFNA(VLOOKUP(D257,标准编码!A:B,2,0),"")</f>
        <v/>
      </c>
    </row>
    <row r="258" spans="2:2">
      <c r="B258" s="150" t="str">
        <f>_xlfn.IFNA(VLOOKUP(D258,标准编码!A:B,2,0),"")</f>
        <v/>
      </c>
    </row>
    <row r="259" spans="2:2">
      <c r="B259" s="150" t="str">
        <f>_xlfn.IFNA(VLOOKUP(D259,标准编码!A:B,2,0),"")</f>
        <v/>
      </c>
    </row>
    <row r="260" spans="2:2">
      <c r="B260" s="150" t="str">
        <f>_xlfn.IFNA(VLOOKUP(D260,标准编码!A:B,2,0),"")</f>
        <v/>
      </c>
    </row>
    <row r="261" spans="2:2">
      <c r="B261" s="150" t="str">
        <f>_xlfn.IFNA(VLOOKUP(D261,标准编码!A:B,2,0),"")</f>
        <v/>
      </c>
    </row>
    <row r="262" spans="2:2">
      <c r="B262" s="150" t="str">
        <f>_xlfn.IFNA(VLOOKUP(D262,标准编码!A:B,2,0),"")</f>
        <v/>
      </c>
    </row>
    <row r="263" spans="2:2">
      <c r="B263" s="150" t="str">
        <f>_xlfn.IFNA(VLOOKUP(D263,标准编码!A:B,2,0),"")</f>
        <v/>
      </c>
    </row>
    <row r="264" spans="2:2">
      <c r="B264" s="150" t="str">
        <f>_xlfn.IFNA(VLOOKUP(D264,标准编码!A:B,2,0),"")</f>
        <v/>
      </c>
    </row>
    <row r="265" spans="2:2">
      <c r="B265" s="150" t="str">
        <f>_xlfn.IFNA(VLOOKUP(D265,标准编码!A:B,2,0),"")</f>
        <v/>
      </c>
    </row>
    <row r="266" spans="2:2">
      <c r="B266" s="150" t="str">
        <f>_xlfn.IFNA(VLOOKUP(D266,标准编码!A:B,2,0),"")</f>
        <v/>
      </c>
    </row>
    <row r="267" spans="2:2">
      <c r="B267" s="150" t="str">
        <f>_xlfn.IFNA(VLOOKUP(D267,标准编码!A:B,2,0),"")</f>
        <v/>
      </c>
    </row>
    <row r="268" spans="2:2">
      <c r="B268" s="150" t="str">
        <f>_xlfn.IFNA(VLOOKUP(D268,标准编码!A:B,2,0),"")</f>
        <v/>
      </c>
    </row>
    <row r="269" spans="2:2">
      <c r="B269" s="150" t="str">
        <f>_xlfn.IFNA(VLOOKUP(D269,标准编码!A:B,2,0),"")</f>
        <v/>
      </c>
    </row>
    <row r="270" spans="2:2">
      <c r="B270" s="150" t="str">
        <f>_xlfn.IFNA(VLOOKUP(D270,标准编码!A:B,2,0),"")</f>
        <v/>
      </c>
    </row>
    <row r="271" spans="2:2">
      <c r="B271" s="150" t="str">
        <f>_xlfn.IFNA(VLOOKUP(D271,标准编码!A:B,2,0),"")</f>
        <v/>
      </c>
    </row>
    <row r="272" spans="2:2">
      <c r="B272" s="150" t="str">
        <f>_xlfn.IFNA(VLOOKUP(D272,标准编码!A:B,2,0),"")</f>
        <v/>
      </c>
    </row>
    <row r="273" spans="2:2">
      <c r="B273" s="150" t="str">
        <f>_xlfn.IFNA(VLOOKUP(D273,标准编码!A:B,2,0),"")</f>
        <v/>
      </c>
    </row>
    <row r="274" spans="2:2">
      <c r="B274" s="150" t="str">
        <f>_xlfn.IFNA(VLOOKUP(D274,标准编码!A:B,2,0),"")</f>
        <v/>
      </c>
    </row>
    <row r="275" spans="2:2">
      <c r="B275" s="150" t="str">
        <f>_xlfn.IFNA(VLOOKUP(D275,标准编码!A:B,2,0),"")</f>
        <v/>
      </c>
    </row>
    <row r="276" spans="2:2">
      <c r="B276" s="150" t="str">
        <f>_xlfn.IFNA(VLOOKUP(D276,标准编码!A:B,2,0),"")</f>
        <v/>
      </c>
    </row>
    <row r="277" spans="2:2">
      <c r="B277" s="150" t="str">
        <f>_xlfn.IFNA(VLOOKUP(D277,标准编码!A:B,2,0),"")</f>
        <v/>
      </c>
    </row>
    <row r="278" spans="2:2">
      <c r="B278" s="150" t="str">
        <f>_xlfn.IFNA(VLOOKUP(D278,标准编码!A:B,2,0),"")</f>
        <v/>
      </c>
    </row>
    <row r="279" spans="2:2">
      <c r="B279" s="150" t="str">
        <f>_xlfn.IFNA(VLOOKUP(D279,标准编码!A:B,2,0),"")</f>
        <v/>
      </c>
    </row>
    <row r="280" spans="2:2">
      <c r="B280" s="150" t="str">
        <f>_xlfn.IFNA(VLOOKUP(D280,标准编码!A:B,2,0),"")</f>
        <v/>
      </c>
    </row>
    <row r="281" spans="2:2">
      <c r="B281" s="150" t="str">
        <f>_xlfn.IFNA(VLOOKUP(D281,标准编码!A:B,2,0),"")</f>
        <v/>
      </c>
    </row>
    <row r="282" spans="2:2">
      <c r="B282" s="150" t="str">
        <f>_xlfn.IFNA(VLOOKUP(D282,标准编码!A:B,2,0),"")</f>
        <v/>
      </c>
    </row>
    <row r="283" spans="2:2">
      <c r="B283" s="150" t="str">
        <f>_xlfn.IFNA(VLOOKUP(D283,标准编码!A:B,2,0),"")</f>
        <v/>
      </c>
    </row>
    <row r="284" spans="2:2">
      <c r="B284" s="150" t="str">
        <f>_xlfn.IFNA(VLOOKUP(D284,标准编码!A:B,2,0),"")</f>
        <v/>
      </c>
    </row>
    <row r="285" spans="2:2">
      <c r="B285" s="150" t="str">
        <f>_xlfn.IFNA(VLOOKUP(D285,标准编码!A:B,2,0),"")</f>
        <v/>
      </c>
    </row>
    <row r="286" spans="2:2">
      <c r="B286" s="150" t="str">
        <f>_xlfn.IFNA(VLOOKUP(D286,标准编码!A:B,2,0),"")</f>
        <v/>
      </c>
    </row>
    <row r="287" spans="2:2">
      <c r="B287" s="150" t="str">
        <f>_xlfn.IFNA(VLOOKUP(D287,标准编码!A:B,2,0),"")</f>
        <v/>
      </c>
    </row>
    <row r="288" spans="2:2">
      <c r="B288" s="150" t="str">
        <f>_xlfn.IFNA(VLOOKUP(D288,标准编码!A:B,2,0),"")</f>
        <v/>
      </c>
    </row>
    <row r="289" spans="2:2">
      <c r="B289" s="150" t="str">
        <f>_xlfn.IFNA(VLOOKUP(D289,标准编码!A:B,2,0),"")</f>
        <v/>
      </c>
    </row>
    <row r="290" spans="2:2">
      <c r="B290" s="150" t="str">
        <f>_xlfn.IFNA(VLOOKUP(D290,标准编码!A:B,2,0),"")</f>
        <v/>
      </c>
    </row>
    <row r="291" spans="2:2">
      <c r="B291" s="150" t="str">
        <f>_xlfn.IFNA(VLOOKUP(D291,标准编码!A:B,2,0),"")</f>
        <v/>
      </c>
    </row>
    <row r="292" spans="2:2">
      <c r="B292" s="150" t="str">
        <f>_xlfn.IFNA(VLOOKUP(D292,标准编码!A:B,2,0),"")</f>
        <v/>
      </c>
    </row>
    <row r="293" spans="2:2">
      <c r="B293" s="150" t="str">
        <f>_xlfn.IFNA(VLOOKUP(D293,标准编码!A:B,2,0),"")</f>
        <v/>
      </c>
    </row>
    <row r="294" spans="2:2">
      <c r="B294" s="150" t="str">
        <f>_xlfn.IFNA(VLOOKUP(D294,标准编码!A:B,2,0),"")</f>
        <v/>
      </c>
    </row>
    <row r="295" spans="2:2">
      <c r="B295" s="150" t="str">
        <f>_xlfn.IFNA(VLOOKUP(D295,标准编码!A:B,2,0),"")</f>
        <v/>
      </c>
    </row>
    <row r="296" spans="2:2">
      <c r="B296" s="150" t="str">
        <f>_xlfn.IFNA(VLOOKUP(D296,标准编码!A:B,2,0),"")</f>
        <v/>
      </c>
    </row>
    <row r="297" spans="2:2">
      <c r="B297" s="150" t="str">
        <f>_xlfn.IFNA(VLOOKUP(D297,标准编码!A:B,2,0),"")</f>
        <v/>
      </c>
    </row>
    <row r="298" spans="2:2">
      <c r="B298" s="150" t="str">
        <f>_xlfn.IFNA(VLOOKUP(D298,标准编码!A:B,2,0),"")</f>
        <v/>
      </c>
    </row>
    <row r="299" spans="2:2">
      <c r="B299" s="150" t="str">
        <f>_xlfn.IFNA(VLOOKUP(D299,标准编码!A:B,2,0),"")</f>
        <v/>
      </c>
    </row>
    <row r="300" spans="2:2">
      <c r="B300" s="150" t="str">
        <f>_xlfn.IFNA(VLOOKUP(D300,标准编码!A:B,2,0),"")</f>
        <v/>
      </c>
    </row>
    <row r="301" spans="2:2">
      <c r="B301" s="150" t="str">
        <f>_xlfn.IFNA(VLOOKUP(D301,标准编码!A:B,2,0),"")</f>
        <v/>
      </c>
    </row>
    <row r="302" spans="2:2">
      <c r="B302" s="150" t="str">
        <f>_xlfn.IFNA(VLOOKUP(D302,标准编码!A:B,2,0),"")</f>
        <v/>
      </c>
    </row>
    <row r="303" spans="2:2">
      <c r="B303" s="150" t="str">
        <f>_xlfn.IFNA(VLOOKUP(D303,标准编码!A:B,2,0),"")</f>
        <v/>
      </c>
    </row>
    <row r="304" spans="2:2">
      <c r="B304" s="150" t="str">
        <f>_xlfn.IFNA(VLOOKUP(D304,标准编码!A:B,2,0),"")</f>
        <v/>
      </c>
    </row>
    <row r="305" spans="2:2">
      <c r="B305" s="150" t="str">
        <f>_xlfn.IFNA(VLOOKUP(D305,标准编码!A:B,2,0),"")</f>
        <v/>
      </c>
    </row>
    <row r="306" spans="2:2">
      <c r="B306" s="150" t="str">
        <f>_xlfn.IFNA(VLOOKUP(D306,标准编码!A:B,2,0),"")</f>
        <v/>
      </c>
    </row>
    <row r="307" spans="2:2">
      <c r="B307" s="150" t="str">
        <f>_xlfn.IFNA(VLOOKUP(D307,标准编码!A:B,2,0),"")</f>
        <v/>
      </c>
    </row>
    <row r="308" spans="2:2">
      <c r="B308" s="150" t="str">
        <f>_xlfn.IFNA(VLOOKUP(D308,标准编码!A:B,2,0),"")</f>
        <v/>
      </c>
    </row>
    <row r="309" spans="2:2">
      <c r="B309" s="150" t="str">
        <f>_xlfn.IFNA(VLOOKUP(D309,标准编码!A:B,2,0),"")</f>
        <v/>
      </c>
    </row>
    <row r="310" spans="2:2">
      <c r="B310" s="150" t="str">
        <f>_xlfn.IFNA(VLOOKUP(D310,标准编码!A:B,2,0),"")</f>
        <v/>
      </c>
    </row>
    <row r="311" spans="2:2">
      <c r="B311" s="150" t="str">
        <f>_xlfn.IFNA(VLOOKUP(D311,标准编码!A:B,2,0),"")</f>
        <v/>
      </c>
    </row>
    <row r="312" spans="2:2">
      <c r="B312" s="150" t="str">
        <f>_xlfn.IFNA(VLOOKUP(D312,标准编码!A:B,2,0),"")</f>
        <v/>
      </c>
    </row>
    <row r="313" spans="2:2">
      <c r="B313" s="150" t="str">
        <f>_xlfn.IFNA(VLOOKUP(D313,标准编码!A:B,2,0),"")</f>
        <v/>
      </c>
    </row>
    <row r="314" spans="2:2">
      <c r="B314" s="150" t="str">
        <f>_xlfn.IFNA(VLOOKUP(D314,标准编码!A:B,2,0),"")</f>
        <v/>
      </c>
    </row>
    <row r="315" spans="2:2">
      <c r="B315" s="150" t="str">
        <f>_xlfn.IFNA(VLOOKUP(D315,标准编码!A:B,2,0),"")</f>
        <v/>
      </c>
    </row>
    <row r="316" spans="2:2">
      <c r="B316" s="150" t="str">
        <f>_xlfn.IFNA(VLOOKUP(D316,标准编码!A:B,2,0),"")</f>
        <v/>
      </c>
    </row>
    <row r="317" spans="2:2">
      <c r="B317" s="150" t="str">
        <f>_xlfn.IFNA(VLOOKUP(D317,标准编码!A:B,2,0),"")</f>
        <v/>
      </c>
    </row>
    <row r="318" spans="2:2">
      <c r="B318" s="150" t="str">
        <f>_xlfn.IFNA(VLOOKUP(D318,标准编码!A:B,2,0),"")</f>
        <v/>
      </c>
    </row>
    <row r="319" spans="2:2">
      <c r="B319" s="150" t="str">
        <f>_xlfn.IFNA(VLOOKUP(D319,标准编码!A:B,2,0),"")</f>
        <v/>
      </c>
    </row>
    <row r="320" spans="2:2">
      <c r="B320" s="150" t="str">
        <f>_xlfn.IFNA(VLOOKUP(D320,标准编码!A:B,2,0),"")</f>
        <v/>
      </c>
    </row>
    <row r="321" spans="2:2">
      <c r="B321" s="150" t="str">
        <f>_xlfn.IFNA(VLOOKUP(D321,标准编码!A:B,2,0),"")</f>
        <v/>
      </c>
    </row>
    <row r="322" spans="2:2">
      <c r="B322" s="150" t="str">
        <f>_xlfn.IFNA(VLOOKUP(D322,标准编码!A:B,2,0),"")</f>
        <v/>
      </c>
    </row>
    <row r="323" spans="2:2">
      <c r="B323" s="150" t="str">
        <f>_xlfn.IFNA(VLOOKUP(D323,标准编码!A:B,2,0),"")</f>
        <v/>
      </c>
    </row>
    <row r="324" spans="2:2">
      <c r="B324" s="150" t="str">
        <f>_xlfn.IFNA(VLOOKUP(D324,标准编码!A:B,2,0),"")</f>
        <v/>
      </c>
    </row>
    <row r="325" spans="2:2">
      <c r="B325" s="150" t="str">
        <f>_xlfn.IFNA(VLOOKUP(D325,标准编码!A:B,2,0),"")</f>
        <v/>
      </c>
    </row>
    <row r="326" spans="2:2">
      <c r="B326" s="150" t="str">
        <f>_xlfn.IFNA(VLOOKUP(D326,标准编码!A:B,2,0),"")</f>
        <v/>
      </c>
    </row>
    <row r="327" spans="2:2">
      <c r="B327" s="150" t="str">
        <f>_xlfn.IFNA(VLOOKUP(D327,标准编码!A:B,2,0),"")</f>
        <v/>
      </c>
    </row>
    <row r="328" spans="2:2">
      <c r="B328" s="150" t="str">
        <f>_xlfn.IFNA(VLOOKUP(D328,标准编码!A:B,2,0),"")</f>
        <v/>
      </c>
    </row>
    <row r="329" spans="2:2">
      <c r="B329" s="150" t="str">
        <f>_xlfn.IFNA(VLOOKUP(D329,标准编码!A:B,2,0),"")</f>
        <v/>
      </c>
    </row>
    <row r="330" spans="2:2">
      <c r="B330" s="150" t="str">
        <f>_xlfn.IFNA(VLOOKUP(D330,标准编码!A:B,2,0),"")</f>
        <v/>
      </c>
    </row>
    <row r="331" spans="2:2">
      <c r="B331" s="150" t="str">
        <f>_xlfn.IFNA(VLOOKUP(D331,标准编码!A:B,2,0),"")</f>
        <v/>
      </c>
    </row>
    <row r="332" spans="2:2">
      <c r="B332" s="150" t="str">
        <f>_xlfn.IFNA(VLOOKUP(D332,标准编码!A:B,2,0),"")</f>
        <v/>
      </c>
    </row>
    <row r="333" spans="2:2">
      <c r="B333" s="150" t="str">
        <f>_xlfn.IFNA(VLOOKUP(D333,标准编码!A:B,2,0),"")</f>
        <v/>
      </c>
    </row>
    <row r="334" spans="2:2">
      <c r="B334" s="150" t="str">
        <f>_xlfn.IFNA(VLOOKUP(D334,标准编码!A:B,2,0),"")</f>
        <v/>
      </c>
    </row>
    <row r="335" spans="2:2">
      <c r="B335" s="150" t="str">
        <f>_xlfn.IFNA(VLOOKUP(D335,标准编码!A:B,2,0),"")</f>
        <v/>
      </c>
    </row>
    <row r="336" spans="2:2">
      <c r="B336" s="150" t="str">
        <f>_xlfn.IFNA(VLOOKUP(D336,标准编码!A:B,2,0),"")</f>
        <v/>
      </c>
    </row>
    <row r="337" spans="2:2">
      <c r="B337" s="150" t="str">
        <f>_xlfn.IFNA(VLOOKUP(D337,标准编码!A:B,2,0),"")</f>
        <v/>
      </c>
    </row>
    <row r="338" spans="2:2">
      <c r="B338" s="150" t="str">
        <f>_xlfn.IFNA(VLOOKUP(D338,标准编码!A:B,2,0),"")</f>
        <v/>
      </c>
    </row>
    <row r="339" spans="2:2">
      <c r="B339" s="150" t="str">
        <f>_xlfn.IFNA(VLOOKUP(D339,标准编码!A:B,2,0),"")</f>
        <v/>
      </c>
    </row>
    <row r="340" spans="2:2">
      <c r="B340" s="150" t="str">
        <f>_xlfn.IFNA(VLOOKUP(D340,标准编码!A:B,2,0),"")</f>
        <v/>
      </c>
    </row>
    <row r="341" spans="2:2">
      <c r="B341" s="150" t="str">
        <f>_xlfn.IFNA(VLOOKUP(D341,标准编码!A:B,2,0),"")</f>
        <v/>
      </c>
    </row>
    <row r="342" spans="2:2">
      <c r="B342" s="150" t="str">
        <f>_xlfn.IFNA(VLOOKUP(D342,标准编码!A:B,2,0),"")</f>
        <v/>
      </c>
    </row>
    <row r="343" spans="2:2">
      <c r="B343" s="150" t="str">
        <f>_xlfn.IFNA(VLOOKUP(D343,标准编码!A:B,2,0),"")</f>
        <v/>
      </c>
    </row>
    <row r="344" spans="2:2">
      <c r="B344" s="150" t="str">
        <f>_xlfn.IFNA(VLOOKUP(D344,标准编码!A:B,2,0),"")</f>
        <v/>
      </c>
    </row>
    <row r="345" spans="2:2">
      <c r="B345" s="150" t="str">
        <f>_xlfn.IFNA(VLOOKUP(D345,标准编码!A:B,2,0),"")</f>
        <v/>
      </c>
    </row>
    <row r="346" spans="2:2">
      <c r="B346" s="150" t="str">
        <f>_xlfn.IFNA(VLOOKUP(D346,标准编码!A:B,2,0),"")</f>
        <v/>
      </c>
    </row>
    <row r="347" spans="2:2">
      <c r="B347" s="150" t="str">
        <f>_xlfn.IFNA(VLOOKUP(D347,标准编码!A:B,2,0),"")</f>
        <v/>
      </c>
    </row>
    <row r="348" spans="2:2">
      <c r="B348" s="150" t="str">
        <f>_xlfn.IFNA(VLOOKUP(D348,标准编码!A:B,2,0),"")</f>
        <v/>
      </c>
    </row>
    <row r="349" spans="2:2">
      <c r="B349" s="150" t="str">
        <f>_xlfn.IFNA(VLOOKUP(D349,标准编码!A:B,2,0),"")</f>
        <v/>
      </c>
    </row>
    <row r="350" spans="2:2">
      <c r="B350" s="150" t="str">
        <f>_xlfn.IFNA(VLOOKUP(D350,标准编码!A:B,2,0),"")</f>
        <v/>
      </c>
    </row>
    <row r="351" spans="2:2">
      <c r="B351" s="150" t="str">
        <f>_xlfn.IFNA(VLOOKUP(D351,标准编码!A:B,2,0),"")</f>
        <v/>
      </c>
    </row>
    <row r="352" spans="2:2">
      <c r="B352" s="150" t="str">
        <f>_xlfn.IFNA(VLOOKUP(D352,标准编码!A:B,2,0),"")</f>
        <v/>
      </c>
    </row>
    <row r="353" spans="2:2">
      <c r="B353" s="150" t="str">
        <f>_xlfn.IFNA(VLOOKUP(D353,标准编码!A:B,2,0),"")</f>
        <v/>
      </c>
    </row>
    <row r="354" spans="2:2">
      <c r="B354" s="150" t="str">
        <f>_xlfn.IFNA(VLOOKUP(D354,标准编码!A:B,2,0),"")</f>
        <v/>
      </c>
    </row>
    <row r="355" spans="2:2">
      <c r="B355" s="150" t="str">
        <f>_xlfn.IFNA(VLOOKUP(D355,标准编码!A:B,2,0),"")</f>
        <v/>
      </c>
    </row>
    <row r="356" spans="2:2">
      <c r="B356" s="150" t="str">
        <f>_xlfn.IFNA(VLOOKUP(D356,标准编码!A:B,2,0),"")</f>
        <v/>
      </c>
    </row>
    <row r="357" spans="2:2">
      <c r="B357" s="150" t="str">
        <f>_xlfn.IFNA(VLOOKUP(D357,标准编码!A:B,2,0),"")</f>
        <v/>
      </c>
    </row>
    <row r="358" spans="2:2">
      <c r="B358" s="150" t="str">
        <f>_xlfn.IFNA(VLOOKUP(D358,标准编码!A:B,2,0),"")</f>
        <v/>
      </c>
    </row>
    <row r="359" spans="2:2">
      <c r="B359" s="150" t="str">
        <f>_xlfn.IFNA(VLOOKUP(D359,标准编码!A:B,2,0),"")</f>
        <v/>
      </c>
    </row>
    <row r="360" spans="2:2">
      <c r="B360" s="150" t="str">
        <f>_xlfn.IFNA(VLOOKUP(D360,标准编码!A:B,2,0),"")</f>
        <v/>
      </c>
    </row>
    <row r="361" spans="2:2">
      <c r="B361" s="150" t="str">
        <f>_xlfn.IFNA(VLOOKUP(D361,标准编码!A:B,2,0),"")</f>
        <v/>
      </c>
    </row>
    <row r="362" spans="2:2">
      <c r="B362" s="150" t="str">
        <f>_xlfn.IFNA(VLOOKUP(D362,标准编码!A:B,2,0),"")</f>
        <v/>
      </c>
    </row>
    <row r="363" spans="2:2">
      <c r="B363" s="150" t="str">
        <f>_xlfn.IFNA(VLOOKUP(D363,标准编码!A:B,2,0),"")</f>
        <v/>
      </c>
    </row>
    <row r="364" spans="2:2">
      <c r="B364" s="150" t="str">
        <f>_xlfn.IFNA(VLOOKUP(D364,标准编码!A:B,2,0),"")</f>
        <v/>
      </c>
    </row>
    <row r="365" spans="2:2">
      <c r="B365" s="150" t="str">
        <f>_xlfn.IFNA(VLOOKUP(D365,标准编码!A:B,2,0),"")</f>
        <v/>
      </c>
    </row>
    <row r="366" spans="2:2">
      <c r="B366" s="150" t="str">
        <f>_xlfn.IFNA(VLOOKUP(D366,标准编码!A:B,2,0),"")</f>
        <v/>
      </c>
    </row>
    <row r="367" spans="2:2">
      <c r="B367" s="150" t="str">
        <f>_xlfn.IFNA(VLOOKUP(D367,标准编码!A:B,2,0),"")</f>
        <v/>
      </c>
    </row>
    <row r="368" spans="2:2">
      <c r="B368" s="150" t="str">
        <f>_xlfn.IFNA(VLOOKUP(D368,标准编码!A:B,2,0),"")</f>
        <v/>
      </c>
    </row>
    <row r="369" spans="2:2">
      <c r="B369" s="150" t="str">
        <f>_xlfn.IFNA(VLOOKUP(D369,标准编码!A:B,2,0),"")</f>
        <v/>
      </c>
    </row>
    <row r="370" spans="2:2">
      <c r="B370" s="150" t="str">
        <f>_xlfn.IFNA(VLOOKUP(D370,标准编码!A:B,2,0),"")</f>
        <v/>
      </c>
    </row>
    <row r="371" spans="2:2">
      <c r="B371" s="150" t="str">
        <f>_xlfn.IFNA(VLOOKUP(D371,标准编码!A:B,2,0),"")</f>
        <v/>
      </c>
    </row>
    <row r="372" spans="2:2">
      <c r="B372" s="150" t="str">
        <f>_xlfn.IFNA(VLOOKUP(D372,标准编码!A:B,2,0),"")</f>
        <v/>
      </c>
    </row>
    <row r="373" spans="2:2">
      <c r="B373" s="150" t="str">
        <f>_xlfn.IFNA(VLOOKUP(D373,标准编码!A:B,2,0),"")</f>
        <v/>
      </c>
    </row>
    <row r="374" spans="2:2">
      <c r="B374" s="150" t="str">
        <f>_xlfn.IFNA(VLOOKUP(D374,标准编码!A:B,2,0),"")</f>
        <v/>
      </c>
    </row>
    <row r="375" spans="2:2">
      <c r="B375" s="150" t="str">
        <f>_xlfn.IFNA(VLOOKUP(D375,标准编码!A:B,2,0),"")</f>
        <v/>
      </c>
    </row>
    <row r="376" spans="2:2">
      <c r="B376" s="150" t="str">
        <f>_xlfn.IFNA(VLOOKUP(D376,标准编码!A:B,2,0),"")</f>
        <v/>
      </c>
    </row>
    <row r="377" spans="2:2">
      <c r="B377" s="150" t="str">
        <f>_xlfn.IFNA(VLOOKUP(D377,标准编码!A:B,2,0),"")</f>
        <v/>
      </c>
    </row>
    <row r="378" spans="2:2">
      <c r="B378" s="150" t="str">
        <f>_xlfn.IFNA(VLOOKUP(D378,标准编码!A:B,2,0),"")</f>
        <v/>
      </c>
    </row>
    <row r="379" spans="2:2">
      <c r="B379" s="150" t="str">
        <f>_xlfn.IFNA(VLOOKUP(D379,标准编码!A:B,2,0),"")</f>
        <v/>
      </c>
    </row>
    <row r="380" spans="2:2">
      <c r="B380" s="150" t="str">
        <f>_xlfn.IFNA(VLOOKUP(D380,标准编码!A:B,2,0),"")</f>
        <v/>
      </c>
    </row>
    <row r="381" spans="2:2">
      <c r="B381" s="150" t="str">
        <f>_xlfn.IFNA(VLOOKUP(D381,标准编码!A:B,2,0),"")</f>
        <v/>
      </c>
    </row>
    <row r="382" spans="2:2">
      <c r="B382" s="150" t="str">
        <f>_xlfn.IFNA(VLOOKUP(D382,标准编码!A:B,2,0),"")</f>
        <v/>
      </c>
    </row>
    <row r="383" spans="2:2">
      <c r="B383" s="150" t="str">
        <f>_xlfn.IFNA(VLOOKUP(D383,标准编码!A:B,2,0),"")</f>
        <v/>
      </c>
    </row>
    <row r="384" spans="2:2">
      <c r="B384" s="150" t="str">
        <f>_xlfn.IFNA(VLOOKUP(D384,标准编码!A:B,2,0),"")</f>
        <v/>
      </c>
    </row>
    <row r="385" spans="2:2">
      <c r="B385" s="150" t="str">
        <f>_xlfn.IFNA(VLOOKUP(D385,标准编码!A:B,2,0),"")</f>
        <v/>
      </c>
    </row>
    <row r="386" spans="2:2">
      <c r="B386" s="150" t="str">
        <f>_xlfn.IFNA(VLOOKUP(D386,标准编码!A:B,2,0),"")</f>
        <v/>
      </c>
    </row>
    <row r="387" spans="2:2">
      <c r="B387" s="150" t="str">
        <f>_xlfn.IFNA(VLOOKUP(D387,标准编码!A:B,2,0),"")</f>
        <v/>
      </c>
    </row>
    <row r="388" spans="2:2">
      <c r="B388" s="150" t="str">
        <f>_xlfn.IFNA(VLOOKUP(D388,标准编码!A:B,2,0),"")</f>
        <v/>
      </c>
    </row>
    <row r="389" spans="2:2">
      <c r="B389" s="150" t="str">
        <f>_xlfn.IFNA(VLOOKUP(D389,标准编码!A:B,2,0),"")</f>
        <v/>
      </c>
    </row>
    <row r="390" spans="2:2">
      <c r="B390" s="150" t="str">
        <f>_xlfn.IFNA(VLOOKUP(D390,标准编码!A:B,2,0),"")</f>
        <v/>
      </c>
    </row>
    <row r="391" spans="2:2">
      <c r="B391" s="150" t="str">
        <f>_xlfn.IFNA(VLOOKUP(D391,标准编码!A:B,2,0),"")</f>
        <v/>
      </c>
    </row>
    <row r="392" spans="2:2">
      <c r="B392" s="150" t="str">
        <f>_xlfn.IFNA(VLOOKUP(D392,标准编码!A:B,2,0),"")</f>
        <v/>
      </c>
    </row>
    <row r="393" spans="2:2">
      <c r="B393" s="150" t="str">
        <f>_xlfn.IFNA(VLOOKUP(D393,标准编码!A:B,2,0),"")</f>
        <v/>
      </c>
    </row>
    <row r="394" spans="2:2">
      <c r="B394" s="150" t="str">
        <f>_xlfn.IFNA(VLOOKUP(D394,标准编码!A:B,2,0),"")</f>
        <v/>
      </c>
    </row>
    <row r="395" spans="2:2">
      <c r="B395" s="150" t="str">
        <f>_xlfn.IFNA(VLOOKUP(D395,标准编码!A:B,2,0),"")</f>
        <v/>
      </c>
    </row>
    <row r="396" spans="2:2">
      <c r="B396" s="150" t="str">
        <f>_xlfn.IFNA(VLOOKUP(D396,标准编码!A:B,2,0),"")</f>
        <v/>
      </c>
    </row>
    <row r="397" spans="2:2">
      <c r="B397" s="150" t="str">
        <f>_xlfn.IFNA(VLOOKUP(D397,标准编码!A:B,2,0),"")</f>
        <v/>
      </c>
    </row>
    <row r="398" spans="2:2">
      <c r="B398" s="150" t="str">
        <f>_xlfn.IFNA(VLOOKUP(D398,标准编码!A:B,2,0),"")</f>
        <v/>
      </c>
    </row>
    <row r="399" spans="2:2">
      <c r="B399" s="150" t="str">
        <f>_xlfn.IFNA(VLOOKUP(D399,标准编码!A:B,2,0),"")</f>
        <v/>
      </c>
    </row>
    <row r="400" spans="2:2">
      <c r="B400" s="150" t="str">
        <f>_xlfn.IFNA(VLOOKUP(D400,标准编码!A:B,2,0),"")</f>
        <v/>
      </c>
    </row>
    <row r="401" spans="2:2">
      <c r="B401" s="150" t="str">
        <f>_xlfn.IFNA(VLOOKUP(D401,标准编码!A:B,2,0),"")</f>
        <v/>
      </c>
    </row>
    <row r="402" spans="2:2">
      <c r="B402" s="150" t="str">
        <f>_xlfn.IFNA(VLOOKUP(D402,标准编码!A:B,2,0),"")</f>
        <v/>
      </c>
    </row>
    <row r="403" spans="2:2">
      <c r="B403" s="150" t="str">
        <f>_xlfn.IFNA(VLOOKUP(D403,标准编码!A:B,2,0),"")</f>
        <v/>
      </c>
    </row>
    <row r="404" spans="2:2">
      <c r="B404" s="150" t="str">
        <f>_xlfn.IFNA(VLOOKUP(D404,标准编码!A:B,2,0),"")</f>
        <v/>
      </c>
    </row>
    <row r="405" spans="2:2">
      <c r="B405" s="150" t="str">
        <f>_xlfn.IFNA(VLOOKUP(D405,标准编码!A:B,2,0),"")</f>
        <v/>
      </c>
    </row>
    <row r="406" spans="2:2">
      <c r="B406" s="150" t="str">
        <f>_xlfn.IFNA(VLOOKUP(D406,标准编码!A:B,2,0),"")</f>
        <v/>
      </c>
    </row>
    <row r="407" spans="2:2">
      <c r="B407" s="150" t="str">
        <f>_xlfn.IFNA(VLOOKUP(D407,标准编码!A:B,2,0),"")</f>
        <v/>
      </c>
    </row>
    <row r="408" spans="2:2">
      <c r="B408" s="150" t="str">
        <f>_xlfn.IFNA(VLOOKUP(D408,标准编码!A:B,2,0),"")</f>
        <v/>
      </c>
    </row>
    <row r="409" spans="2:2">
      <c r="B409" s="150" t="str">
        <f>_xlfn.IFNA(VLOOKUP(D409,标准编码!A:B,2,0),"")</f>
        <v/>
      </c>
    </row>
    <row r="410" spans="2:2">
      <c r="B410" s="150" t="str">
        <f>_xlfn.IFNA(VLOOKUP(D410,标准编码!A:B,2,0),"")</f>
        <v/>
      </c>
    </row>
    <row r="411" spans="2:2">
      <c r="B411" s="150" t="str">
        <f>_xlfn.IFNA(VLOOKUP(D411,标准编码!A:B,2,0),"")</f>
        <v/>
      </c>
    </row>
    <row r="412" spans="2:2">
      <c r="B412" s="150" t="str">
        <f>_xlfn.IFNA(VLOOKUP(D412,标准编码!A:B,2,0),"")</f>
        <v/>
      </c>
    </row>
    <row r="413" spans="2:2">
      <c r="B413" s="150" t="str">
        <f>_xlfn.IFNA(VLOOKUP(D413,标准编码!A:B,2,0),"")</f>
        <v/>
      </c>
    </row>
    <row r="414" spans="2:2">
      <c r="B414" s="150" t="str">
        <f>_xlfn.IFNA(VLOOKUP(D414,标准编码!A:B,2,0),"")</f>
        <v/>
      </c>
    </row>
    <row r="415" spans="2:2">
      <c r="B415" s="150" t="str">
        <f>_xlfn.IFNA(VLOOKUP(D415,标准编码!A:B,2,0),"")</f>
        <v/>
      </c>
    </row>
    <row r="416" spans="2:2">
      <c r="B416" s="150" t="str">
        <f>_xlfn.IFNA(VLOOKUP(D416,标准编码!A:B,2,0),"")</f>
        <v/>
      </c>
    </row>
    <row r="417" spans="2:2">
      <c r="B417" s="150" t="str">
        <f>_xlfn.IFNA(VLOOKUP(D417,标准编码!A:B,2,0),"")</f>
        <v/>
      </c>
    </row>
    <row r="418" spans="2:2">
      <c r="B418" s="150" t="str">
        <f>_xlfn.IFNA(VLOOKUP(D418,标准编码!A:B,2,0),"")</f>
        <v/>
      </c>
    </row>
    <row r="419" spans="2:2">
      <c r="B419" s="150" t="str">
        <f>_xlfn.IFNA(VLOOKUP(D419,标准编码!A:B,2,0),"")</f>
        <v/>
      </c>
    </row>
    <row r="420" spans="2:2">
      <c r="B420" s="150" t="str">
        <f>_xlfn.IFNA(VLOOKUP(D420,标准编码!A:B,2,0),"")</f>
        <v/>
      </c>
    </row>
    <row r="421" spans="2:2">
      <c r="B421" s="150" t="str">
        <f>_xlfn.IFNA(VLOOKUP(D421,标准编码!A:B,2,0),"")</f>
        <v/>
      </c>
    </row>
    <row r="422" spans="2:2">
      <c r="B422" s="150" t="str">
        <f>_xlfn.IFNA(VLOOKUP(D422,标准编码!A:B,2,0),"")</f>
        <v/>
      </c>
    </row>
    <row r="423" spans="2:2">
      <c r="B423" s="150" t="str">
        <f>_xlfn.IFNA(VLOOKUP(D423,标准编码!A:B,2,0),"")</f>
        <v/>
      </c>
    </row>
    <row r="424" spans="2:2">
      <c r="B424" s="150" t="str">
        <f>_xlfn.IFNA(VLOOKUP(D424,标准编码!A:B,2,0),"")</f>
        <v/>
      </c>
    </row>
    <row r="425" spans="2:2">
      <c r="B425" s="150" t="str">
        <f>_xlfn.IFNA(VLOOKUP(D425,标准编码!A:B,2,0),"")</f>
        <v/>
      </c>
    </row>
    <row r="426" spans="2:2">
      <c r="B426" s="150" t="str">
        <f>_xlfn.IFNA(VLOOKUP(D426,标准编码!A:B,2,0),"")</f>
        <v/>
      </c>
    </row>
    <row r="427" spans="2:2">
      <c r="B427" s="150" t="str">
        <f>_xlfn.IFNA(VLOOKUP(D427,标准编码!A:B,2,0),"")</f>
        <v/>
      </c>
    </row>
    <row r="428" spans="2:2">
      <c r="B428" s="150" t="str">
        <f>_xlfn.IFNA(VLOOKUP(D428,标准编码!A:B,2,0),"")</f>
        <v/>
      </c>
    </row>
    <row r="429" spans="2:2">
      <c r="B429" s="150" t="str">
        <f>_xlfn.IFNA(VLOOKUP(D429,标准编码!A:B,2,0),"")</f>
        <v/>
      </c>
    </row>
    <row r="430" spans="2:2">
      <c r="B430" s="150" t="str">
        <f>_xlfn.IFNA(VLOOKUP(D430,标准编码!A:B,2,0),"")</f>
        <v/>
      </c>
    </row>
    <row r="431" spans="2:2">
      <c r="B431" s="150" t="str">
        <f>_xlfn.IFNA(VLOOKUP(D431,标准编码!A:B,2,0),"")</f>
        <v/>
      </c>
    </row>
    <row r="432" spans="2:2">
      <c r="B432" s="150" t="str">
        <f>_xlfn.IFNA(VLOOKUP(D432,标准编码!A:B,2,0),"")</f>
        <v/>
      </c>
    </row>
    <row r="433" spans="2:2">
      <c r="B433" s="150" t="str">
        <f>_xlfn.IFNA(VLOOKUP(D433,标准编码!A:B,2,0),"")</f>
        <v/>
      </c>
    </row>
    <row r="434" spans="2:2">
      <c r="B434" s="150" t="str">
        <f>_xlfn.IFNA(VLOOKUP(D434,标准编码!A:B,2,0),"")</f>
        <v/>
      </c>
    </row>
    <row r="435" spans="2:2">
      <c r="B435" s="150" t="str">
        <f>_xlfn.IFNA(VLOOKUP(D435,标准编码!A:B,2,0),"")</f>
        <v/>
      </c>
    </row>
    <row r="436" spans="2:2">
      <c r="B436" s="150" t="str">
        <f>_xlfn.IFNA(VLOOKUP(D436,标准编码!A:B,2,0),"")</f>
        <v/>
      </c>
    </row>
    <row r="437" spans="2:2">
      <c r="B437" s="150" t="str">
        <f>_xlfn.IFNA(VLOOKUP(D437,标准编码!A:B,2,0),"")</f>
        <v/>
      </c>
    </row>
    <row r="438" spans="2:2">
      <c r="B438" s="150" t="str">
        <f>_xlfn.IFNA(VLOOKUP(D438,标准编码!A:B,2,0),"")</f>
        <v/>
      </c>
    </row>
    <row r="439" spans="2:2">
      <c r="B439" s="150" t="str">
        <f>_xlfn.IFNA(VLOOKUP(D439,标准编码!A:B,2,0),"")</f>
        <v/>
      </c>
    </row>
    <row r="440" spans="2:2">
      <c r="B440" s="150" t="str">
        <f>_xlfn.IFNA(VLOOKUP(D440,标准编码!A:B,2,0),"")</f>
        <v/>
      </c>
    </row>
    <row r="441" spans="2:2">
      <c r="B441" s="150" t="str">
        <f>_xlfn.IFNA(VLOOKUP(D441,标准编码!A:B,2,0),"")</f>
        <v/>
      </c>
    </row>
    <row r="442" spans="2:2">
      <c r="B442" s="150" t="str">
        <f>_xlfn.IFNA(VLOOKUP(D442,标准编码!A:B,2,0),"")</f>
        <v/>
      </c>
    </row>
    <row r="443" spans="2:2">
      <c r="B443" s="150" t="str">
        <f>_xlfn.IFNA(VLOOKUP(D443,标准编码!A:B,2,0),"")</f>
        <v/>
      </c>
    </row>
    <row r="444" spans="2:2">
      <c r="B444" s="150" t="str">
        <f>_xlfn.IFNA(VLOOKUP(D444,标准编码!A:B,2,0),"")</f>
        <v/>
      </c>
    </row>
    <row r="445" spans="2:2">
      <c r="B445" s="150" t="str">
        <f>_xlfn.IFNA(VLOOKUP(D445,标准编码!A:B,2,0),"")</f>
        <v/>
      </c>
    </row>
    <row r="446" spans="2:2">
      <c r="B446" s="150" t="str">
        <f>_xlfn.IFNA(VLOOKUP(D446,标准编码!A:B,2,0),"")</f>
        <v/>
      </c>
    </row>
    <row r="447" spans="2:2">
      <c r="B447" s="150" t="str">
        <f>_xlfn.IFNA(VLOOKUP(D447,标准编码!A:B,2,0),"")</f>
        <v/>
      </c>
    </row>
    <row r="448" spans="2:2">
      <c r="B448" s="150" t="str">
        <f>_xlfn.IFNA(VLOOKUP(D448,标准编码!A:B,2,0),"")</f>
        <v/>
      </c>
    </row>
    <row r="449" spans="2:2">
      <c r="B449" s="150" t="str">
        <f>_xlfn.IFNA(VLOOKUP(D449,标准编码!A:B,2,0),"")</f>
        <v/>
      </c>
    </row>
    <row r="450" spans="2:2">
      <c r="B450" s="150" t="str">
        <f>_xlfn.IFNA(VLOOKUP(D450,标准编码!A:B,2,0),"")</f>
        <v/>
      </c>
    </row>
    <row r="451" spans="2:2">
      <c r="B451" s="150" t="str">
        <f>_xlfn.IFNA(VLOOKUP(D451,标准编码!A:B,2,0),"")</f>
        <v/>
      </c>
    </row>
    <row r="452" spans="2:2">
      <c r="B452" s="150" t="str">
        <f>_xlfn.IFNA(VLOOKUP(D452,标准编码!A:B,2,0),"")</f>
        <v/>
      </c>
    </row>
    <row r="453" spans="2:2">
      <c r="B453" s="150" t="str">
        <f>_xlfn.IFNA(VLOOKUP(D453,标准编码!A:B,2,0),"")</f>
        <v/>
      </c>
    </row>
    <row r="454" spans="2:2">
      <c r="B454" s="150" t="str">
        <f>_xlfn.IFNA(VLOOKUP(D454,标准编码!A:B,2,0),"")</f>
        <v/>
      </c>
    </row>
    <row r="455" spans="2:2">
      <c r="B455" s="150" t="str">
        <f>_xlfn.IFNA(VLOOKUP(D455,标准编码!A:B,2,0),"")</f>
        <v/>
      </c>
    </row>
    <row r="456" spans="2:2">
      <c r="B456" s="150" t="str">
        <f>_xlfn.IFNA(VLOOKUP(D456,标准编码!A:B,2,0),"")</f>
        <v/>
      </c>
    </row>
    <row r="457" spans="2:2">
      <c r="B457" s="150" t="str">
        <f>_xlfn.IFNA(VLOOKUP(D457,标准编码!A:B,2,0),"")</f>
        <v/>
      </c>
    </row>
    <row r="458" spans="2:2">
      <c r="B458" s="150" t="str">
        <f>_xlfn.IFNA(VLOOKUP(D458,标准编码!A:B,2,0),"")</f>
        <v/>
      </c>
    </row>
    <row r="459" spans="2:2">
      <c r="B459" s="150" t="str">
        <f>_xlfn.IFNA(VLOOKUP(D459,标准编码!A:B,2,0),"")</f>
        <v/>
      </c>
    </row>
    <row r="460" spans="2:2">
      <c r="B460" s="150" t="str">
        <f>_xlfn.IFNA(VLOOKUP(D460,标准编码!A:B,2,0),"")</f>
        <v/>
      </c>
    </row>
    <row r="461" spans="2:2">
      <c r="B461" s="150" t="str">
        <f>_xlfn.IFNA(VLOOKUP(D461,标准编码!A:B,2,0),"")</f>
        <v/>
      </c>
    </row>
    <row r="462" spans="2:2">
      <c r="B462" s="150" t="str">
        <f>_xlfn.IFNA(VLOOKUP(D462,标准编码!A:B,2,0),"")</f>
        <v/>
      </c>
    </row>
    <row r="463" spans="2:2">
      <c r="B463" s="150" t="str">
        <f>_xlfn.IFNA(VLOOKUP(D463,标准编码!A:B,2,0),"")</f>
        <v/>
      </c>
    </row>
    <row r="464" spans="2:2">
      <c r="B464" s="150" t="str">
        <f>_xlfn.IFNA(VLOOKUP(D464,标准编码!A:B,2,0),"")</f>
        <v/>
      </c>
    </row>
    <row r="465" spans="2:2">
      <c r="B465" s="150" t="str">
        <f>_xlfn.IFNA(VLOOKUP(D465,标准编码!A:B,2,0),"")</f>
        <v/>
      </c>
    </row>
    <row r="466" spans="2:2">
      <c r="B466" s="150" t="str">
        <f>_xlfn.IFNA(VLOOKUP(D466,标准编码!A:B,2,0),"")</f>
        <v/>
      </c>
    </row>
    <row r="467" spans="2:2">
      <c r="B467" s="150" t="str">
        <f>_xlfn.IFNA(VLOOKUP(D467,标准编码!A:B,2,0),"")</f>
        <v/>
      </c>
    </row>
    <row r="468" spans="2:2">
      <c r="B468" s="150" t="str">
        <f>_xlfn.IFNA(VLOOKUP(D468,标准编码!A:B,2,0),"")</f>
        <v/>
      </c>
    </row>
    <row r="469" spans="2:2">
      <c r="B469" s="150" t="str">
        <f>_xlfn.IFNA(VLOOKUP(D469,标准编码!A:B,2,0),"")</f>
        <v/>
      </c>
    </row>
    <row r="470" spans="2:2">
      <c r="B470" s="150" t="str">
        <f>_xlfn.IFNA(VLOOKUP(D470,标准编码!A:B,2,0),"")</f>
        <v/>
      </c>
    </row>
    <row r="471" spans="2:2">
      <c r="B471" s="150" t="str">
        <f>_xlfn.IFNA(VLOOKUP(D471,标准编码!A:B,2,0),"")</f>
        <v/>
      </c>
    </row>
    <row r="472" spans="2:2">
      <c r="B472" s="150" t="str">
        <f>_xlfn.IFNA(VLOOKUP(D472,标准编码!A:B,2,0),"")</f>
        <v/>
      </c>
    </row>
    <row r="473" spans="2:2">
      <c r="B473" s="150" t="str">
        <f>_xlfn.IFNA(VLOOKUP(D473,标准编码!A:B,2,0),"")</f>
        <v/>
      </c>
    </row>
    <row r="474" spans="2:2">
      <c r="B474" s="150" t="str">
        <f>_xlfn.IFNA(VLOOKUP(D474,标准编码!A:B,2,0),"")</f>
        <v/>
      </c>
    </row>
    <row r="475" spans="2:2">
      <c r="B475" s="150" t="str">
        <f>_xlfn.IFNA(VLOOKUP(D475,标准编码!A:B,2,0),"")</f>
        <v/>
      </c>
    </row>
    <row r="476" spans="2:2">
      <c r="B476" s="150" t="str">
        <f>_xlfn.IFNA(VLOOKUP(D476,标准编码!A:B,2,0),"")</f>
        <v/>
      </c>
    </row>
    <row r="477" spans="2:2">
      <c r="B477" s="150" t="str">
        <f>_xlfn.IFNA(VLOOKUP(D477,标准编码!A:B,2,0),"")</f>
        <v/>
      </c>
    </row>
    <row r="478" spans="2:2">
      <c r="B478" s="150" t="str">
        <f>_xlfn.IFNA(VLOOKUP(D478,标准编码!A:B,2,0),"")</f>
        <v/>
      </c>
    </row>
    <row r="479" spans="2:2">
      <c r="B479" s="150" t="str">
        <f>_xlfn.IFNA(VLOOKUP(D479,标准编码!A:B,2,0),"")</f>
        <v/>
      </c>
    </row>
    <row r="480" spans="2:2">
      <c r="B480" s="150" t="str">
        <f>_xlfn.IFNA(VLOOKUP(D480,标准编码!A:B,2,0),"")</f>
        <v/>
      </c>
    </row>
    <row r="481" spans="2:2">
      <c r="B481" s="150" t="str">
        <f>_xlfn.IFNA(VLOOKUP(D481,标准编码!A:B,2,0),"")</f>
        <v/>
      </c>
    </row>
    <row r="482" spans="2:2">
      <c r="B482" s="150" t="str">
        <f>_xlfn.IFNA(VLOOKUP(D482,标准编码!A:B,2,0),"")</f>
        <v/>
      </c>
    </row>
    <row r="483" spans="2:2">
      <c r="B483" s="150" t="str">
        <f>_xlfn.IFNA(VLOOKUP(D483,标准编码!A:B,2,0),"")</f>
        <v/>
      </c>
    </row>
    <row r="484" spans="2:2">
      <c r="B484" s="150" t="str">
        <f>_xlfn.IFNA(VLOOKUP(D484,标准编码!A:B,2,0),"")</f>
        <v/>
      </c>
    </row>
    <row r="485" spans="2:2">
      <c r="B485" s="150" t="str">
        <f>_xlfn.IFNA(VLOOKUP(D485,标准编码!A:B,2,0),"")</f>
        <v/>
      </c>
    </row>
    <row r="486" spans="2:2">
      <c r="B486" s="150" t="str">
        <f>_xlfn.IFNA(VLOOKUP(D486,标准编码!A:B,2,0),"")</f>
        <v/>
      </c>
    </row>
    <row r="487" spans="2:2">
      <c r="B487" s="150" t="str">
        <f>_xlfn.IFNA(VLOOKUP(D487,标准编码!A:B,2,0),"")</f>
        <v/>
      </c>
    </row>
    <row r="488" spans="2:2">
      <c r="B488" s="150" t="str">
        <f>_xlfn.IFNA(VLOOKUP(D488,标准编码!A:B,2,0),"")</f>
        <v/>
      </c>
    </row>
    <row r="489" spans="2:2">
      <c r="B489" s="150" t="str">
        <f>_xlfn.IFNA(VLOOKUP(D489,标准编码!A:B,2,0),"")</f>
        <v/>
      </c>
    </row>
    <row r="490" spans="2:2">
      <c r="B490" s="150" t="str">
        <f>_xlfn.IFNA(VLOOKUP(D490,标准编码!A:B,2,0),"")</f>
        <v/>
      </c>
    </row>
    <row r="491" spans="2:2">
      <c r="B491" s="150" t="str">
        <f>_xlfn.IFNA(VLOOKUP(D491,标准编码!A:B,2,0),"")</f>
        <v/>
      </c>
    </row>
    <row r="492" spans="2:2">
      <c r="B492" s="150" t="str">
        <f>_xlfn.IFNA(VLOOKUP(D492,标准编码!A:B,2,0),"")</f>
        <v/>
      </c>
    </row>
    <row r="493" spans="2:2">
      <c r="B493" s="150" t="str">
        <f>_xlfn.IFNA(VLOOKUP(D493,标准编码!A:B,2,0),"")</f>
        <v/>
      </c>
    </row>
    <row r="494" spans="2:2">
      <c r="B494" s="150" t="str">
        <f>_xlfn.IFNA(VLOOKUP(D494,标准编码!A:B,2,0),"")</f>
        <v/>
      </c>
    </row>
    <row r="495" spans="2:2">
      <c r="B495" s="150" t="str">
        <f>_xlfn.IFNA(VLOOKUP(D495,标准编码!A:B,2,0),"")</f>
        <v/>
      </c>
    </row>
    <row r="496" spans="2:2">
      <c r="B496" s="150" t="str">
        <f>_xlfn.IFNA(VLOOKUP(D496,标准编码!A:B,2,0),"")</f>
        <v/>
      </c>
    </row>
    <row r="497" spans="2:2">
      <c r="B497" s="150" t="str">
        <f>_xlfn.IFNA(VLOOKUP(D497,标准编码!A:B,2,0),"")</f>
        <v/>
      </c>
    </row>
    <row r="498" spans="2:2">
      <c r="B498" s="150" t="str">
        <f>_xlfn.IFNA(VLOOKUP(D498,标准编码!A:B,2,0),"")</f>
        <v/>
      </c>
    </row>
    <row r="499" spans="2:2">
      <c r="B499" s="150" t="str">
        <f>_xlfn.IFNA(VLOOKUP(D499,标准编码!A:B,2,0),"")</f>
        <v/>
      </c>
    </row>
    <row r="500" spans="2:2">
      <c r="B500" s="150" t="str">
        <f>_xlfn.IFNA(VLOOKUP(D500,标准编码!A:B,2,0),"")</f>
        <v/>
      </c>
    </row>
    <row r="501" spans="2:2">
      <c r="B501" s="150" t="str">
        <f>_xlfn.IFNA(VLOOKUP(D501,标准编码!A:B,2,0),"")</f>
        <v/>
      </c>
    </row>
    <row r="502" spans="2:2">
      <c r="B502" s="150" t="str">
        <f>_xlfn.IFNA(VLOOKUP(D502,标准编码!A:B,2,0),"")</f>
        <v/>
      </c>
    </row>
    <row r="503" spans="2:2">
      <c r="B503" s="150" t="str">
        <f>_xlfn.IFNA(VLOOKUP(D503,标准编码!A:B,2,0),"")</f>
        <v/>
      </c>
    </row>
    <row r="504" spans="2:2">
      <c r="B504" s="150" t="str">
        <f>_xlfn.IFNA(VLOOKUP(D504,标准编码!A:B,2,0),"")</f>
        <v/>
      </c>
    </row>
    <row r="505" spans="2:2">
      <c r="B505" s="150" t="str">
        <f>_xlfn.IFNA(VLOOKUP(D505,标准编码!A:B,2,0),"")</f>
        <v/>
      </c>
    </row>
    <row r="506" spans="2:2">
      <c r="B506" s="150" t="str">
        <f>_xlfn.IFNA(VLOOKUP(D506,标准编码!A:B,2,0),"")</f>
        <v/>
      </c>
    </row>
    <row r="507" spans="2:2">
      <c r="B507" s="150" t="str">
        <f>_xlfn.IFNA(VLOOKUP(D507,标准编码!A:B,2,0),"")</f>
        <v/>
      </c>
    </row>
    <row r="508" spans="2:2">
      <c r="B508" s="150" t="str">
        <f>_xlfn.IFNA(VLOOKUP(D508,标准编码!A:B,2,0),"")</f>
        <v/>
      </c>
    </row>
    <row r="509" spans="2:2">
      <c r="B509" s="150" t="str">
        <f>_xlfn.IFNA(VLOOKUP(D509,标准编码!A:B,2,0),"")</f>
        <v/>
      </c>
    </row>
    <row r="510" spans="2:2">
      <c r="B510" s="150" t="str">
        <f>_xlfn.IFNA(VLOOKUP(D510,标准编码!A:B,2,0),"")</f>
        <v/>
      </c>
    </row>
    <row r="511" spans="2:2">
      <c r="B511" s="150" t="str">
        <f>_xlfn.IFNA(VLOOKUP(D511,标准编码!A:B,2,0),"")</f>
        <v/>
      </c>
    </row>
    <row r="512" spans="2:2">
      <c r="B512" s="150" t="str">
        <f>_xlfn.IFNA(VLOOKUP(D512,标准编码!A:B,2,0),"")</f>
        <v/>
      </c>
    </row>
    <row r="513" spans="2:2">
      <c r="B513" s="150" t="str">
        <f>_xlfn.IFNA(VLOOKUP(D513,标准编码!A:B,2,0),"")</f>
        <v/>
      </c>
    </row>
    <row r="514" spans="2:2">
      <c r="B514" s="150" t="str">
        <f>_xlfn.IFNA(VLOOKUP(D514,标准编码!A:B,2,0),"")</f>
        <v/>
      </c>
    </row>
    <row r="515" spans="2:2">
      <c r="B515" s="150" t="str">
        <f>_xlfn.IFNA(VLOOKUP(D515,标准编码!A:B,2,0),"")</f>
        <v/>
      </c>
    </row>
    <row r="516" spans="2:2">
      <c r="B516" s="150" t="str">
        <f>_xlfn.IFNA(VLOOKUP(D516,标准编码!A:B,2,0),"")</f>
        <v/>
      </c>
    </row>
    <row r="517" spans="2:2">
      <c r="B517" s="150" t="str">
        <f>_xlfn.IFNA(VLOOKUP(D517,标准编码!A:B,2,0),"")</f>
        <v/>
      </c>
    </row>
    <row r="518" spans="2:2">
      <c r="B518" s="150" t="str">
        <f>_xlfn.IFNA(VLOOKUP(D518,标准编码!A:B,2,0),"")</f>
        <v/>
      </c>
    </row>
    <row r="519" spans="2:2">
      <c r="B519" s="150" t="str">
        <f>_xlfn.IFNA(VLOOKUP(D519,标准编码!A:B,2,0),"")</f>
        <v/>
      </c>
    </row>
    <row r="520" spans="2:2">
      <c r="B520" s="150" t="str">
        <f>_xlfn.IFNA(VLOOKUP(D520,标准编码!A:B,2,0),"")</f>
        <v/>
      </c>
    </row>
    <row r="521" spans="2:2">
      <c r="B521" s="150" t="str">
        <f>_xlfn.IFNA(VLOOKUP(D521,标准编码!A:B,2,0),"")</f>
        <v/>
      </c>
    </row>
    <row r="522" spans="2:2">
      <c r="B522" s="150" t="str">
        <f>_xlfn.IFNA(VLOOKUP(D522,标准编码!A:B,2,0),"")</f>
        <v/>
      </c>
    </row>
    <row r="523" spans="2:2">
      <c r="B523" s="150" t="str">
        <f>_xlfn.IFNA(VLOOKUP(D523,标准编码!A:B,2,0),"")</f>
        <v/>
      </c>
    </row>
    <row r="524" spans="2:2">
      <c r="B524" s="150" t="str">
        <f>_xlfn.IFNA(VLOOKUP(D524,标准编码!A:B,2,0),"")</f>
        <v/>
      </c>
    </row>
    <row r="525" spans="2:2">
      <c r="B525" s="150" t="str">
        <f>_xlfn.IFNA(VLOOKUP(D525,标准编码!A:B,2,0),"")</f>
        <v/>
      </c>
    </row>
    <row r="526" spans="2:2">
      <c r="B526" s="150" t="str">
        <f>_xlfn.IFNA(VLOOKUP(D526,标准编码!A:B,2,0),"")</f>
        <v/>
      </c>
    </row>
    <row r="527" spans="2:2">
      <c r="B527" s="150" t="str">
        <f>_xlfn.IFNA(VLOOKUP(D527,标准编码!A:B,2,0),"")</f>
        <v/>
      </c>
    </row>
    <row r="528" spans="2:2">
      <c r="B528" s="150" t="str">
        <f>_xlfn.IFNA(VLOOKUP(D528,标准编码!A:B,2,0),"")</f>
        <v/>
      </c>
    </row>
    <row r="529" spans="2:2">
      <c r="B529" s="150" t="str">
        <f>_xlfn.IFNA(VLOOKUP(D529,标准编码!A:B,2,0),"")</f>
        <v/>
      </c>
    </row>
    <row r="530" spans="2:2">
      <c r="B530" s="150" t="str">
        <f>_xlfn.IFNA(VLOOKUP(D530,标准编码!A:B,2,0),"")</f>
        <v/>
      </c>
    </row>
    <row r="531" spans="2:2">
      <c r="B531" s="150" t="str">
        <f>_xlfn.IFNA(VLOOKUP(D531,标准编码!A:B,2,0),"")</f>
        <v/>
      </c>
    </row>
    <row r="532" spans="2:2">
      <c r="B532" s="150" t="str">
        <f>_xlfn.IFNA(VLOOKUP(D532,标准编码!A:B,2,0),"")</f>
        <v/>
      </c>
    </row>
    <row r="533" spans="2:2">
      <c r="B533" s="150" t="str">
        <f>_xlfn.IFNA(VLOOKUP(D533,标准编码!A:B,2,0),"")</f>
        <v/>
      </c>
    </row>
    <row r="534" spans="2:2">
      <c r="B534" s="150" t="str">
        <f>_xlfn.IFNA(VLOOKUP(D534,标准编码!A:B,2,0),"")</f>
        <v/>
      </c>
    </row>
    <row r="535" spans="2:2">
      <c r="B535" s="150" t="str">
        <f>_xlfn.IFNA(VLOOKUP(D535,标准编码!A:B,2,0),"")</f>
        <v/>
      </c>
    </row>
    <row r="536" spans="2:2">
      <c r="B536" s="150" t="str">
        <f>_xlfn.IFNA(VLOOKUP(D536,标准编码!A:B,2,0),"")</f>
        <v/>
      </c>
    </row>
    <row r="537" spans="2:2">
      <c r="B537" s="150" t="str">
        <f>_xlfn.IFNA(VLOOKUP(D537,标准编码!A:B,2,0),"")</f>
        <v/>
      </c>
    </row>
    <row r="538" spans="2:2">
      <c r="B538" s="150" t="str">
        <f>_xlfn.IFNA(VLOOKUP(D538,标准编码!A:B,2,0),"")</f>
        <v/>
      </c>
    </row>
    <row r="539" spans="2:2">
      <c r="B539" s="150" t="str">
        <f>_xlfn.IFNA(VLOOKUP(D539,标准编码!A:B,2,0),"")</f>
        <v/>
      </c>
    </row>
    <row r="540" spans="2:2">
      <c r="B540" s="150" t="str">
        <f>_xlfn.IFNA(VLOOKUP(D540,标准编码!A:B,2,0),"")</f>
        <v/>
      </c>
    </row>
    <row r="541" spans="2:2">
      <c r="B541" s="150" t="str">
        <f>_xlfn.IFNA(VLOOKUP(D541,标准编码!A:B,2,0),"")</f>
        <v/>
      </c>
    </row>
    <row r="542" spans="2:2">
      <c r="B542" s="150" t="str">
        <f>_xlfn.IFNA(VLOOKUP(D542,标准编码!A:B,2,0),"")</f>
        <v/>
      </c>
    </row>
    <row r="543" spans="2:2">
      <c r="B543" s="150" t="str">
        <f>_xlfn.IFNA(VLOOKUP(D543,标准编码!A:B,2,0),"")</f>
        <v/>
      </c>
    </row>
    <row r="544" spans="2:2">
      <c r="B544" s="150" t="str">
        <f>_xlfn.IFNA(VLOOKUP(D544,标准编码!A:B,2,0),"")</f>
        <v/>
      </c>
    </row>
    <row r="545" spans="2:2">
      <c r="B545" s="150" t="str">
        <f>_xlfn.IFNA(VLOOKUP(D545,标准编码!A:B,2,0),"")</f>
        <v/>
      </c>
    </row>
    <row r="546" spans="2:2">
      <c r="B546" s="150" t="str">
        <f>_xlfn.IFNA(VLOOKUP(D546,标准编码!A:B,2,0),"")</f>
        <v/>
      </c>
    </row>
    <row r="547" spans="2:2">
      <c r="B547" s="150" t="str">
        <f>_xlfn.IFNA(VLOOKUP(D547,标准编码!A:B,2,0),"")</f>
        <v/>
      </c>
    </row>
    <row r="548" spans="2:2">
      <c r="B548" s="150" t="str">
        <f>_xlfn.IFNA(VLOOKUP(D548,标准编码!A:B,2,0),"")</f>
        <v/>
      </c>
    </row>
    <row r="549" spans="2:2">
      <c r="B549" s="150" t="str">
        <f>_xlfn.IFNA(VLOOKUP(D549,标准编码!A:B,2,0),"")</f>
        <v/>
      </c>
    </row>
    <row r="550" spans="2:2">
      <c r="B550" s="150" t="str">
        <f>_xlfn.IFNA(VLOOKUP(D550,标准编码!A:B,2,0),"")</f>
        <v/>
      </c>
    </row>
    <row r="551" spans="2:2">
      <c r="B551" s="150" t="str">
        <f>_xlfn.IFNA(VLOOKUP(D551,标准编码!A:B,2,0),"")</f>
        <v/>
      </c>
    </row>
    <row r="552" spans="2:2">
      <c r="B552" s="150" t="str">
        <f>_xlfn.IFNA(VLOOKUP(D552,标准编码!A:B,2,0),"")</f>
        <v/>
      </c>
    </row>
    <row r="553" spans="2:2">
      <c r="B553" s="150" t="str">
        <f>_xlfn.IFNA(VLOOKUP(D553,标准编码!A:B,2,0),"")</f>
        <v/>
      </c>
    </row>
    <row r="554" spans="2:2">
      <c r="B554" s="150" t="str">
        <f>_xlfn.IFNA(VLOOKUP(D554,标准编码!A:B,2,0),"")</f>
        <v/>
      </c>
    </row>
    <row r="555" spans="2:2">
      <c r="B555" s="150" t="str">
        <f>_xlfn.IFNA(VLOOKUP(D555,标准编码!A:B,2,0),"")</f>
        <v/>
      </c>
    </row>
    <row r="556" spans="2:2">
      <c r="B556" s="150" t="str">
        <f>_xlfn.IFNA(VLOOKUP(D556,标准编码!A:B,2,0),"")</f>
        <v/>
      </c>
    </row>
    <row r="557" spans="2:2">
      <c r="B557" s="150" t="str">
        <f>_xlfn.IFNA(VLOOKUP(D557,标准编码!A:B,2,0),"")</f>
        <v/>
      </c>
    </row>
    <row r="558" spans="2:2">
      <c r="B558" s="150" t="str">
        <f>_xlfn.IFNA(VLOOKUP(D558,标准编码!A:B,2,0),"")</f>
        <v/>
      </c>
    </row>
    <row r="559" spans="2:2">
      <c r="B559" s="150" t="str">
        <f>_xlfn.IFNA(VLOOKUP(D559,标准编码!A:B,2,0),"")</f>
        <v/>
      </c>
    </row>
    <row r="560" spans="2:2">
      <c r="B560" s="150" t="str">
        <f>_xlfn.IFNA(VLOOKUP(D560,标准编码!A:B,2,0),"")</f>
        <v/>
      </c>
    </row>
    <row r="561" spans="2:2">
      <c r="B561" s="150" t="str">
        <f>_xlfn.IFNA(VLOOKUP(D561,标准编码!A:B,2,0),"")</f>
        <v/>
      </c>
    </row>
    <row r="562" spans="2:2">
      <c r="B562" s="150" t="str">
        <f>_xlfn.IFNA(VLOOKUP(D562,标准编码!A:B,2,0),"")</f>
        <v/>
      </c>
    </row>
    <row r="563" spans="2:2">
      <c r="B563" s="150" t="str">
        <f>_xlfn.IFNA(VLOOKUP(D563,标准编码!A:B,2,0),"")</f>
        <v/>
      </c>
    </row>
    <row r="564" spans="2:2">
      <c r="B564" s="150" t="str">
        <f>_xlfn.IFNA(VLOOKUP(D564,标准编码!A:B,2,0),"")</f>
        <v/>
      </c>
    </row>
    <row r="565" spans="2:2">
      <c r="B565" s="150" t="str">
        <f>_xlfn.IFNA(VLOOKUP(D565,标准编码!A:B,2,0),"")</f>
        <v/>
      </c>
    </row>
    <row r="566" spans="2:2">
      <c r="B566" s="150" t="str">
        <f>_xlfn.IFNA(VLOOKUP(D566,标准编码!A:B,2,0),"")</f>
        <v/>
      </c>
    </row>
    <row r="567" spans="2:2">
      <c r="B567" s="150" t="str">
        <f>_xlfn.IFNA(VLOOKUP(D567,标准编码!A:B,2,0),"")</f>
        <v/>
      </c>
    </row>
    <row r="568" spans="2:2">
      <c r="B568" s="150" t="str">
        <f>_xlfn.IFNA(VLOOKUP(D568,标准编码!A:B,2,0),"")</f>
        <v/>
      </c>
    </row>
    <row r="569" spans="2:2">
      <c r="B569" s="150" t="str">
        <f>_xlfn.IFNA(VLOOKUP(D569,标准编码!A:B,2,0),"")</f>
        <v/>
      </c>
    </row>
    <row r="570" spans="2:2">
      <c r="B570" s="150" t="str">
        <f>_xlfn.IFNA(VLOOKUP(D570,标准编码!A:B,2,0),"")</f>
        <v/>
      </c>
    </row>
    <row r="571" spans="2:2">
      <c r="B571" s="150" t="str">
        <f>_xlfn.IFNA(VLOOKUP(D571,标准编码!A:B,2,0),"")</f>
        <v/>
      </c>
    </row>
    <row r="572" spans="2:2">
      <c r="B572" s="150" t="str">
        <f>_xlfn.IFNA(VLOOKUP(D572,标准编码!A:B,2,0),"")</f>
        <v/>
      </c>
    </row>
    <row r="573" spans="2:2">
      <c r="B573" s="150" t="str">
        <f>_xlfn.IFNA(VLOOKUP(D573,标准编码!A:B,2,0),"")</f>
        <v/>
      </c>
    </row>
    <row r="574" spans="2:2">
      <c r="B574" s="150" t="str">
        <f>_xlfn.IFNA(VLOOKUP(D574,标准编码!A:B,2,0),"")</f>
        <v/>
      </c>
    </row>
    <row r="575" spans="2:2">
      <c r="B575" s="150" t="str">
        <f>_xlfn.IFNA(VLOOKUP(D575,标准编码!A:B,2,0),"")</f>
        <v/>
      </c>
    </row>
    <row r="576" spans="2:2">
      <c r="B576" s="150" t="str">
        <f>_xlfn.IFNA(VLOOKUP(D576,标准编码!A:B,2,0),"")</f>
        <v/>
      </c>
    </row>
    <row r="577" spans="2:2">
      <c r="B577" s="150" t="str">
        <f>_xlfn.IFNA(VLOOKUP(D577,标准编码!A:B,2,0),"")</f>
        <v/>
      </c>
    </row>
    <row r="578" spans="2:2">
      <c r="B578" s="150" t="str">
        <f>_xlfn.IFNA(VLOOKUP(D578,标准编码!A:B,2,0),"")</f>
        <v/>
      </c>
    </row>
    <row r="579" spans="2:2">
      <c r="B579" s="150" t="str">
        <f>_xlfn.IFNA(VLOOKUP(D579,标准编码!A:B,2,0),"")</f>
        <v/>
      </c>
    </row>
    <row r="580" spans="2:2">
      <c r="B580" s="150" t="str">
        <f>_xlfn.IFNA(VLOOKUP(D580,标准编码!A:B,2,0),"")</f>
        <v/>
      </c>
    </row>
    <row r="581" spans="2:2">
      <c r="B581" s="150" t="str">
        <f>_xlfn.IFNA(VLOOKUP(D581,标准编码!A:B,2,0),"")</f>
        <v/>
      </c>
    </row>
    <row r="582" spans="2:2">
      <c r="B582" s="150" t="str">
        <f>_xlfn.IFNA(VLOOKUP(D582,标准编码!A:B,2,0),"")</f>
        <v/>
      </c>
    </row>
    <row r="583" spans="2:2">
      <c r="B583" s="150" t="str">
        <f>_xlfn.IFNA(VLOOKUP(D583,标准编码!A:B,2,0),"")</f>
        <v/>
      </c>
    </row>
    <row r="584" spans="2:2">
      <c r="B584" s="150" t="str">
        <f>_xlfn.IFNA(VLOOKUP(D584,标准编码!A:B,2,0),"")</f>
        <v/>
      </c>
    </row>
    <row r="585" spans="2:2">
      <c r="B585" s="150" t="str">
        <f>_xlfn.IFNA(VLOOKUP(D585,标准编码!A:B,2,0),"")</f>
        <v/>
      </c>
    </row>
    <row r="586" spans="2:2">
      <c r="B586" s="150" t="str">
        <f>_xlfn.IFNA(VLOOKUP(D586,标准编码!A:B,2,0),"")</f>
        <v/>
      </c>
    </row>
    <row r="587" spans="2:2">
      <c r="B587" s="150" t="str">
        <f>_xlfn.IFNA(VLOOKUP(D587,标准编码!A:B,2,0),"")</f>
        <v/>
      </c>
    </row>
    <row r="588" spans="2:2">
      <c r="B588" s="150" t="str">
        <f>_xlfn.IFNA(VLOOKUP(D588,标准编码!A:B,2,0),"")</f>
        <v/>
      </c>
    </row>
    <row r="589" spans="2:2">
      <c r="B589" s="150" t="str">
        <f>_xlfn.IFNA(VLOOKUP(D589,标准编码!A:B,2,0),"")</f>
        <v/>
      </c>
    </row>
    <row r="590" spans="2:2">
      <c r="B590" s="150" t="str">
        <f>_xlfn.IFNA(VLOOKUP(D590,标准编码!A:B,2,0),"")</f>
        <v/>
      </c>
    </row>
    <row r="591" spans="2:2">
      <c r="B591" s="150" t="str">
        <f>_xlfn.IFNA(VLOOKUP(D591,标准编码!A:B,2,0),"")</f>
        <v/>
      </c>
    </row>
    <row r="592" spans="2:2">
      <c r="B592" s="150" t="str">
        <f>_xlfn.IFNA(VLOOKUP(D592,标准编码!A:B,2,0),"")</f>
        <v/>
      </c>
    </row>
    <row r="593" spans="2:2">
      <c r="B593" s="150" t="str">
        <f>_xlfn.IFNA(VLOOKUP(D593,标准编码!A:B,2,0),"")</f>
        <v/>
      </c>
    </row>
    <row r="594" spans="2:2">
      <c r="B594" s="150" t="str">
        <f>_xlfn.IFNA(VLOOKUP(D594,标准编码!A:B,2,0),"")</f>
        <v/>
      </c>
    </row>
    <row r="595" spans="2:2">
      <c r="B595" s="150" t="str">
        <f>_xlfn.IFNA(VLOOKUP(D595,标准编码!A:B,2,0),"")</f>
        <v/>
      </c>
    </row>
    <row r="596" spans="2:2">
      <c r="B596" s="150" t="str">
        <f>_xlfn.IFNA(VLOOKUP(D596,标准编码!A:B,2,0),"")</f>
        <v/>
      </c>
    </row>
    <row r="597" spans="2:2">
      <c r="B597" s="150" t="str">
        <f>_xlfn.IFNA(VLOOKUP(D597,标准编码!A:B,2,0),"")</f>
        <v/>
      </c>
    </row>
    <row r="598" spans="2:2">
      <c r="B598" s="150" t="str">
        <f>_xlfn.IFNA(VLOOKUP(D598,标准编码!A:B,2,0),"")</f>
        <v/>
      </c>
    </row>
    <row r="599" spans="2:2">
      <c r="B599" s="150" t="str">
        <f>_xlfn.IFNA(VLOOKUP(D599,标准编码!A:B,2,0),"")</f>
        <v/>
      </c>
    </row>
    <row r="600" spans="2:2">
      <c r="B600" s="150" t="str">
        <f>_xlfn.IFNA(VLOOKUP(D600,标准编码!A:B,2,0),"")</f>
        <v/>
      </c>
    </row>
    <row r="601" spans="2:2">
      <c r="B601" s="150" t="str">
        <f>_xlfn.IFNA(VLOOKUP(D601,标准编码!A:B,2,0),"")</f>
        <v/>
      </c>
    </row>
    <row r="602" spans="2:2">
      <c r="B602" s="150" t="str">
        <f>_xlfn.IFNA(VLOOKUP(D602,标准编码!A:B,2,0),"")</f>
        <v/>
      </c>
    </row>
    <row r="603" spans="2:2">
      <c r="B603" s="150" t="str">
        <f>_xlfn.IFNA(VLOOKUP(D603,标准编码!A:B,2,0),"")</f>
        <v/>
      </c>
    </row>
    <row r="604" spans="2:2">
      <c r="B604" s="150" t="str">
        <f>_xlfn.IFNA(VLOOKUP(D604,标准编码!A:B,2,0),"")</f>
        <v/>
      </c>
    </row>
    <row r="605" spans="2:2">
      <c r="B605" s="150" t="str">
        <f>_xlfn.IFNA(VLOOKUP(D605,标准编码!A:B,2,0),"")</f>
        <v/>
      </c>
    </row>
    <row r="606" spans="2:2">
      <c r="B606" s="150" t="str">
        <f>_xlfn.IFNA(VLOOKUP(D606,标准编码!A:B,2,0),"")</f>
        <v/>
      </c>
    </row>
    <row r="607" spans="2:2">
      <c r="B607" s="150" t="str">
        <f>_xlfn.IFNA(VLOOKUP(D607,标准编码!A:B,2,0),"")</f>
        <v/>
      </c>
    </row>
    <row r="608" spans="2:2">
      <c r="B608" s="150" t="str">
        <f>_xlfn.IFNA(VLOOKUP(D608,标准编码!A:B,2,0),"")</f>
        <v/>
      </c>
    </row>
    <row r="609" spans="2:2">
      <c r="B609" s="150" t="str">
        <f>_xlfn.IFNA(VLOOKUP(D609,标准编码!A:B,2,0),"")</f>
        <v/>
      </c>
    </row>
    <row r="610" spans="2:2">
      <c r="B610" s="150" t="str">
        <f>_xlfn.IFNA(VLOOKUP(D610,标准编码!A:B,2,0),"")</f>
        <v/>
      </c>
    </row>
    <row r="611" spans="2:2">
      <c r="B611" s="150" t="str">
        <f>_xlfn.IFNA(VLOOKUP(D611,标准编码!A:B,2,0),"")</f>
        <v/>
      </c>
    </row>
    <row r="612" spans="2:2">
      <c r="B612" s="150" t="str">
        <f>_xlfn.IFNA(VLOOKUP(D612,标准编码!A:B,2,0),"")</f>
        <v/>
      </c>
    </row>
    <row r="613" spans="2:2">
      <c r="B613" s="150" t="str">
        <f>_xlfn.IFNA(VLOOKUP(D613,标准编码!A:B,2,0),"")</f>
        <v/>
      </c>
    </row>
    <row r="614" spans="2:2">
      <c r="B614" s="150" t="str">
        <f>_xlfn.IFNA(VLOOKUP(D614,标准编码!A:B,2,0),"")</f>
        <v/>
      </c>
    </row>
    <row r="615" spans="2:2">
      <c r="B615" s="150" t="str">
        <f>_xlfn.IFNA(VLOOKUP(D615,标准编码!A:B,2,0),"")</f>
        <v/>
      </c>
    </row>
    <row r="616" spans="2:2">
      <c r="B616" s="150" t="str">
        <f>_xlfn.IFNA(VLOOKUP(D616,标准编码!A:B,2,0),"")</f>
        <v/>
      </c>
    </row>
    <row r="617" spans="2:2">
      <c r="B617" s="150" t="str">
        <f>_xlfn.IFNA(VLOOKUP(D617,标准编码!A:B,2,0),"")</f>
        <v/>
      </c>
    </row>
    <row r="618" spans="2:2">
      <c r="B618" s="150" t="str">
        <f>_xlfn.IFNA(VLOOKUP(D618,标准编码!A:B,2,0),"")</f>
        <v/>
      </c>
    </row>
    <row r="619" spans="2:2">
      <c r="B619" s="150" t="str">
        <f>_xlfn.IFNA(VLOOKUP(D619,标准编码!A:B,2,0),"")</f>
        <v/>
      </c>
    </row>
    <row r="620" spans="2:2">
      <c r="B620" s="150" t="str">
        <f>_xlfn.IFNA(VLOOKUP(D620,标准编码!A:B,2,0),"")</f>
        <v/>
      </c>
    </row>
    <row r="621" spans="2:2">
      <c r="B621" s="150" t="str">
        <f>_xlfn.IFNA(VLOOKUP(D621,标准编码!A:B,2,0),"")</f>
        <v/>
      </c>
    </row>
    <row r="622" spans="2:2">
      <c r="B622" s="150" t="str">
        <f>_xlfn.IFNA(VLOOKUP(D622,标准编码!A:B,2,0),"")</f>
        <v/>
      </c>
    </row>
    <row r="623" spans="2:2">
      <c r="B623" s="150" t="str">
        <f>_xlfn.IFNA(VLOOKUP(D623,标准编码!A:B,2,0),"")</f>
        <v/>
      </c>
    </row>
    <row r="624" spans="2:2">
      <c r="B624" s="150" t="str">
        <f>_xlfn.IFNA(VLOOKUP(D624,标准编码!A:B,2,0),"")</f>
        <v/>
      </c>
    </row>
    <row r="625" spans="2:2">
      <c r="B625" s="150" t="str">
        <f>_xlfn.IFNA(VLOOKUP(D625,标准编码!A:B,2,0),"")</f>
        <v/>
      </c>
    </row>
    <row r="626" spans="2:2">
      <c r="B626" s="150" t="str">
        <f>_xlfn.IFNA(VLOOKUP(D626,标准编码!A:B,2,0),"")</f>
        <v/>
      </c>
    </row>
    <row r="627" spans="2:2">
      <c r="B627" s="150" t="str">
        <f>_xlfn.IFNA(VLOOKUP(D627,标准编码!A:B,2,0),"")</f>
        <v/>
      </c>
    </row>
    <row r="628" spans="2:2">
      <c r="B628" s="150" t="str">
        <f>_xlfn.IFNA(VLOOKUP(D628,标准编码!A:B,2,0),"")</f>
        <v/>
      </c>
    </row>
    <row r="629" spans="2:2">
      <c r="B629" s="150" t="str">
        <f>_xlfn.IFNA(VLOOKUP(D629,标准编码!A:B,2,0),"")</f>
        <v/>
      </c>
    </row>
    <row r="630" spans="2:2">
      <c r="B630" s="150" t="str">
        <f>_xlfn.IFNA(VLOOKUP(D630,标准编码!A:B,2,0),"")</f>
        <v/>
      </c>
    </row>
    <row r="631" spans="2:2">
      <c r="B631" s="150" t="str">
        <f>_xlfn.IFNA(VLOOKUP(D631,标准编码!A:B,2,0),"")</f>
        <v/>
      </c>
    </row>
    <row r="632" spans="2:2">
      <c r="B632" s="150" t="str">
        <f>_xlfn.IFNA(VLOOKUP(D632,标准编码!A:B,2,0),"")</f>
        <v/>
      </c>
    </row>
    <row r="633" spans="2:2">
      <c r="B633" s="150" t="str">
        <f>_xlfn.IFNA(VLOOKUP(D633,标准编码!A:B,2,0),"")</f>
        <v/>
      </c>
    </row>
    <row r="634" spans="2:2">
      <c r="B634" s="150" t="str">
        <f>_xlfn.IFNA(VLOOKUP(D634,标准编码!A:B,2,0),"")</f>
        <v/>
      </c>
    </row>
    <row r="635" spans="2:2">
      <c r="B635" s="150" t="str">
        <f>_xlfn.IFNA(VLOOKUP(D635,标准编码!A:B,2,0),"")</f>
        <v/>
      </c>
    </row>
    <row r="636" spans="2:2">
      <c r="B636" s="150" t="str">
        <f>_xlfn.IFNA(VLOOKUP(D636,标准编码!A:B,2,0),"")</f>
        <v/>
      </c>
    </row>
    <row r="637" spans="2:2">
      <c r="B637" s="150" t="str">
        <f>_xlfn.IFNA(VLOOKUP(D637,标准编码!A:B,2,0),"")</f>
        <v/>
      </c>
    </row>
    <row r="638" spans="2:2">
      <c r="B638" s="150" t="str">
        <f>_xlfn.IFNA(VLOOKUP(D638,标准编码!A:B,2,0),"")</f>
        <v/>
      </c>
    </row>
    <row r="639" spans="2:2">
      <c r="B639" s="150" t="str">
        <f>_xlfn.IFNA(VLOOKUP(D639,标准编码!A:B,2,0),"")</f>
        <v/>
      </c>
    </row>
    <row r="640" spans="2:2">
      <c r="B640" s="150" t="str">
        <f>_xlfn.IFNA(VLOOKUP(D640,标准编码!A:B,2,0),"")</f>
        <v/>
      </c>
    </row>
    <row r="641" spans="2:2">
      <c r="B641" s="150" t="str">
        <f>_xlfn.IFNA(VLOOKUP(D641,标准编码!A:B,2,0),"")</f>
        <v/>
      </c>
    </row>
    <row r="642" spans="2:2">
      <c r="B642" s="150" t="str">
        <f>_xlfn.IFNA(VLOOKUP(D642,标准编码!A:B,2,0),"")</f>
        <v/>
      </c>
    </row>
    <row r="643" spans="2:2">
      <c r="B643" s="150" t="str">
        <f>_xlfn.IFNA(VLOOKUP(D643,标准编码!A:B,2,0),"")</f>
        <v/>
      </c>
    </row>
    <row r="644" spans="2:2">
      <c r="B644" s="150" t="str">
        <f>_xlfn.IFNA(VLOOKUP(D644,标准编码!A:B,2,0),"")</f>
        <v/>
      </c>
    </row>
    <row r="645" spans="2:2">
      <c r="B645" s="150" t="str">
        <f>_xlfn.IFNA(VLOOKUP(D645,标准编码!A:B,2,0),"")</f>
        <v/>
      </c>
    </row>
    <row r="646" spans="2:2">
      <c r="B646" s="150" t="str">
        <f>_xlfn.IFNA(VLOOKUP(D646,标准编码!A:B,2,0),"")</f>
        <v/>
      </c>
    </row>
    <row r="647" spans="2:2">
      <c r="B647" s="150" t="str">
        <f>_xlfn.IFNA(VLOOKUP(D647,标准编码!A:B,2,0),"")</f>
        <v/>
      </c>
    </row>
    <row r="648" spans="2:2">
      <c r="B648" s="150" t="str">
        <f>_xlfn.IFNA(VLOOKUP(D648,标准编码!A:B,2,0),"")</f>
        <v/>
      </c>
    </row>
    <row r="649" spans="2:2">
      <c r="B649" s="150" t="str">
        <f>_xlfn.IFNA(VLOOKUP(D649,标准编码!A:B,2,0),"")</f>
        <v/>
      </c>
    </row>
    <row r="650" spans="2:2">
      <c r="B650" s="150" t="str">
        <f>_xlfn.IFNA(VLOOKUP(D650,标准编码!A:B,2,0),"")</f>
        <v/>
      </c>
    </row>
    <row r="651" spans="2:2">
      <c r="B651" s="150" t="str">
        <f>_xlfn.IFNA(VLOOKUP(D651,标准编码!A:B,2,0),"")</f>
        <v/>
      </c>
    </row>
    <row r="652" spans="2:2">
      <c r="B652" s="150" t="str">
        <f>_xlfn.IFNA(VLOOKUP(D652,标准编码!A:B,2,0),"")</f>
        <v/>
      </c>
    </row>
    <row r="653" spans="2:2">
      <c r="B653" s="150" t="str">
        <f>_xlfn.IFNA(VLOOKUP(D653,标准编码!A:B,2,0),"")</f>
        <v/>
      </c>
    </row>
    <row r="654" spans="2:2">
      <c r="B654" s="150" t="str">
        <f>_xlfn.IFNA(VLOOKUP(D654,标准编码!A:B,2,0),"")</f>
        <v/>
      </c>
    </row>
    <row r="655" spans="2:2">
      <c r="B655" s="150" t="str">
        <f>_xlfn.IFNA(VLOOKUP(D655,标准编码!A:B,2,0),"")</f>
        <v/>
      </c>
    </row>
    <row r="656" spans="2:2">
      <c r="B656" s="150" t="str">
        <f>_xlfn.IFNA(VLOOKUP(D656,标准编码!A:B,2,0),"")</f>
        <v/>
      </c>
    </row>
    <row r="657" spans="2:2">
      <c r="B657" s="150" t="str">
        <f>_xlfn.IFNA(VLOOKUP(D657,标准编码!A:B,2,0),"")</f>
        <v/>
      </c>
    </row>
    <row r="658" spans="2:2">
      <c r="B658" s="150" t="str">
        <f>_xlfn.IFNA(VLOOKUP(D658,标准编码!A:B,2,0),"")</f>
        <v/>
      </c>
    </row>
    <row r="659" spans="2:2">
      <c r="B659" s="150" t="str">
        <f>_xlfn.IFNA(VLOOKUP(D659,标准编码!A:B,2,0),"")</f>
        <v/>
      </c>
    </row>
    <row r="660" spans="2:2">
      <c r="B660" s="150" t="str">
        <f>_xlfn.IFNA(VLOOKUP(D660,标准编码!A:B,2,0),"")</f>
        <v/>
      </c>
    </row>
    <row r="661" spans="2:2">
      <c r="B661" s="150" t="str">
        <f>_xlfn.IFNA(VLOOKUP(D661,标准编码!A:B,2,0),"")</f>
        <v/>
      </c>
    </row>
    <row r="662" spans="2:2">
      <c r="B662" s="150" t="str">
        <f>_xlfn.IFNA(VLOOKUP(D662,标准编码!A:B,2,0),"")</f>
        <v/>
      </c>
    </row>
    <row r="663" spans="2:2">
      <c r="B663" s="150" t="str">
        <f>_xlfn.IFNA(VLOOKUP(D663,标准编码!A:B,2,0),"")</f>
        <v/>
      </c>
    </row>
    <row r="664" spans="2:2">
      <c r="B664" s="150" t="str">
        <f>_xlfn.IFNA(VLOOKUP(D664,标准编码!A:B,2,0),"")</f>
        <v/>
      </c>
    </row>
    <row r="665" spans="2:2">
      <c r="B665" s="150" t="str">
        <f>_xlfn.IFNA(VLOOKUP(D665,标准编码!A:B,2,0),"")</f>
        <v/>
      </c>
    </row>
    <row r="666" spans="2:2">
      <c r="B666" s="150" t="str">
        <f>_xlfn.IFNA(VLOOKUP(D666,标准编码!A:B,2,0),"")</f>
        <v/>
      </c>
    </row>
    <row r="667" spans="2:2">
      <c r="B667" s="150" t="str">
        <f>_xlfn.IFNA(VLOOKUP(D667,标准编码!A:B,2,0),"")</f>
        <v/>
      </c>
    </row>
    <row r="668" spans="2:2">
      <c r="B668" s="150" t="str">
        <f>_xlfn.IFNA(VLOOKUP(D668,标准编码!A:B,2,0),"")</f>
        <v/>
      </c>
    </row>
    <row r="669" spans="2:2">
      <c r="B669" s="150" t="str">
        <f>_xlfn.IFNA(VLOOKUP(D669,标准编码!A:B,2,0),"")</f>
        <v/>
      </c>
    </row>
    <row r="670" spans="2:2">
      <c r="B670" s="150" t="str">
        <f>_xlfn.IFNA(VLOOKUP(D670,标准编码!A:B,2,0),"")</f>
        <v/>
      </c>
    </row>
    <row r="671" spans="2:2">
      <c r="B671" s="150" t="str">
        <f>_xlfn.IFNA(VLOOKUP(D671,标准编码!A:B,2,0),"")</f>
        <v/>
      </c>
    </row>
    <row r="672" spans="2:2">
      <c r="B672" s="150" t="str">
        <f>_xlfn.IFNA(VLOOKUP(D672,标准编码!A:B,2,0),"")</f>
        <v/>
      </c>
    </row>
    <row r="673" spans="2:2">
      <c r="B673" s="150" t="str">
        <f>_xlfn.IFNA(VLOOKUP(D673,标准编码!A:B,2,0),"")</f>
        <v/>
      </c>
    </row>
    <row r="674" spans="2:2">
      <c r="B674" s="150" t="str">
        <f>_xlfn.IFNA(VLOOKUP(D674,标准编码!A:B,2,0),"")</f>
        <v/>
      </c>
    </row>
    <row r="675" spans="2:2">
      <c r="B675" s="150" t="str">
        <f>_xlfn.IFNA(VLOOKUP(D675,标准编码!A:B,2,0),"")</f>
        <v/>
      </c>
    </row>
    <row r="676" spans="2:2">
      <c r="B676" s="150" t="str">
        <f>_xlfn.IFNA(VLOOKUP(D676,标准编码!A:B,2,0),"")</f>
        <v/>
      </c>
    </row>
    <row r="677" spans="2:2">
      <c r="B677" s="150" t="str">
        <f>_xlfn.IFNA(VLOOKUP(D677,标准编码!A:B,2,0),"")</f>
        <v/>
      </c>
    </row>
    <row r="678" spans="2:2">
      <c r="B678" s="150" t="str">
        <f>_xlfn.IFNA(VLOOKUP(D678,标准编码!A:B,2,0),"")</f>
        <v/>
      </c>
    </row>
    <row r="679" spans="2:2">
      <c r="B679" s="150" t="str">
        <f>_xlfn.IFNA(VLOOKUP(D679,标准编码!A:B,2,0),"")</f>
        <v/>
      </c>
    </row>
    <row r="680" spans="2:2">
      <c r="B680" s="150" t="str">
        <f>_xlfn.IFNA(VLOOKUP(D680,标准编码!A:B,2,0),"")</f>
        <v/>
      </c>
    </row>
    <row r="681" spans="2:2">
      <c r="B681" s="150" t="str">
        <f>_xlfn.IFNA(VLOOKUP(D681,标准编码!A:B,2,0),"")</f>
        <v/>
      </c>
    </row>
    <row r="682" spans="2:2">
      <c r="B682" s="150" t="str">
        <f>_xlfn.IFNA(VLOOKUP(D682,标准编码!A:B,2,0),"")</f>
        <v/>
      </c>
    </row>
    <row r="683" spans="2:2">
      <c r="B683" s="150" t="str">
        <f>_xlfn.IFNA(VLOOKUP(D683,标准编码!A:B,2,0),"")</f>
        <v/>
      </c>
    </row>
    <row r="684" spans="2:2">
      <c r="B684" s="150" t="str">
        <f>_xlfn.IFNA(VLOOKUP(D684,标准编码!A:B,2,0),"")</f>
        <v/>
      </c>
    </row>
    <row r="685" spans="2:2">
      <c r="B685" s="150" t="str">
        <f>_xlfn.IFNA(VLOOKUP(D685,标准编码!A:B,2,0),"")</f>
        <v/>
      </c>
    </row>
    <row r="686" spans="2:2">
      <c r="B686" s="150" t="str">
        <f>_xlfn.IFNA(VLOOKUP(D686,标准编码!A:B,2,0),"")</f>
        <v/>
      </c>
    </row>
    <row r="687" spans="2:2">
      <c r="B687" s="150" t="str">
        <f>_xlfn.IFNA(VLOOKUP(D687,标准编码!A:B,2,0),"")</f>
        <v/>
      </c>
    </row>
    <row r="688" spans="2:2">
      <c r="B688" s="150" t="str">
        <f>_xlfn.IFNA(VLOOKUP(D688,标准编码!A:B,2,0),"")</f>
        <v/>
      </c>
    </row>
    <row r="689" spans="2:2">
      <c r="B689" s="150" t="str">
        <f>_xlfn.IFNA(VLOOKUP(D689,标准编码!A:B,2,0),"")</f>
        <v/>
      </c>
    </row>
    <row r="690" spans="2:2">
      <c r="B690" s="150" t="str">
        <f>_xlfn.IFNA(VLOOKUP(D690,标准编码!A:B,2,0),"")</f>
        <v/>
      </c>
    </row>
    <row r="691" spans="2:2">
      <c r="B691" s="150" t="str">
        <f>_xlfn.IFNA(VLOOKUP(D691,标准编码!A:B,2,0),"")</f>
        <v/>
      </c>
    </row>
    <row r="692" spans="2:2">
      <c r="B692" s="150" t="str">
        <f>_xlfn.IFNA(VLOOKUP(D692,标准编码!A:B,2,0),"")</f>
        <v/>
      </c>
    </row>
    <row r="693" spans="2:2">
      <c r="B693" s="150" t="str">
        <f>_xlfn.IFNA(VLOOKUP(D693,标准编码!A:B,2,0),"")</f>
        <v/>
      </c>
    </row>
    <row r="694" spans="2:2">
      <c r="B694" s="150" t="str">
        <f>_xlfn.IFNA(VLOOKUP(D694,标准编码!A:B,2,0),"")</f>
        <v/>
      </c>
    </row>
    <row r="695" spans="2:2">
      <c r="B695" s="150" t="str">
        <f>_xlfn.IFNA(VLOOKUP(D695,标准编码!A:B,2,0),"")</f>
        <v/>
      </c>
    </row>
    <row r="696" spans="2:2">
      <c r="B696" s="150" t="str">
        <f>_xlfn.IFNA(VLOOKUP(D696,标准编码!A:B,2,0),"")</f>
        <v/>
      </c>
    </row>
    <row r="697" spans="2:2">
      <c r="B697" s="150" t="str">
        <f>_xlfn.IFNA(VLOOKUP(D697,标准编码!A:B,2,0),"")</f>
        <v/>
      </c>
    </row>
    <row r="698" spans="2:2">
      <c r="B698" s="150" t="str">
        <f>_xlfn.IFNA(VLOOKUP(D698,标准编码!A:B,2,0),"")</f>
        <v/>
      </c>
    </row>
    <row r="699" spans="2:2">
      <c r="B699" s="150" t="str">
        <f>_xlfn.IFNA(VLOOKUP(D699,标准编码!A:B,2,0),"")</f>
        <v/>
      </c>
    </row>
    <row r="700" spans="2:2">
      <c r="B700" s="150" t="str">
        <f>_xlfn.IFNA(VLOOKUP(D700,标准编码!A:B,2,0),"")</f>
        <v/>
      </c>
    </row>
    <row r="701" spans="2:2">
      <c r="B701" s="150" t="str">
        <f>_xlfn.IFNA(VLOOKUP(D701,标准编码!A:B,2,0),"")</f>
        <v/>
      </c>
    </row>
    <row r="702" spans="2:2">
      <c r="B702" s="150" t="str">
        <f>_xlfn.IFNA(VLOOKUP(D702,标准编码!A:B,2,0),"")</f>
        <v/>
      </c>
    </row>
    <row r="703" spans="2:2">
      <c r="B703" s="150" t="str">
        <f>_xlfn.IFNA(VLOOKUP(D703,标准编码!A:B,2,0),"")</f>
        <v/>
      </c>
    </row>
    <row r="704" spans="2:2">
      <c r="B704" s="150" t="str">
        <f>_xlfn.IFNA(VLOOKUP(D704,标准编码!A:B,2,0),"")</f>
        <v/>
      </c>
    </row>
    <row r="705" spans="2:2">
      <c r="B705" s="150" t="str">
        <f>_xlfn.IFNA(VLOOKUP(D705,标准编码!A:B,2,0),"")</f>
        <v/>
      </c>
    </row>
    <row r="706" spans="2:2">
      <c r="B706" s="150" t="str">
        <f>_xlfn.IFNA(VLOOKUP(D706,标准编码!A:B,2,0),"")</f>
        <v/>
      </c>
    </row>
    <row r="707" spans="2:2">
      <c r="B707" s="150" t="str">
        <f>_xlfn.IFNA(VLOOKUP(D707,标准编码!A:B,2,0),"")</f>
        <v/>
      </c>
    </row>
    <row r="708" spans="2:2">
      <c r="B708" s="150" t="str">
        <f>_xlfn.IFNA(VLOOKUP(D708,标准编码!A:B,2,0),"")</f>
        <v/>
      </c>
    </row>
    <row r="709" spans="2:2">
      <c r="B709" s="150" t="str">
        <f>_xlfn.IFNA(VLOOKUP(D709,标准编码!A:B,2,0),"")</f>
        <v/>
      </c>
    </row>
    <row r="710" spans="2:2">
      <c r="B710" s="150" t="str">
        <f>_xlfn.IFNA(VLOOKUP(D710,标准编码!A:B,2,0),"")</f>
        <v/>
      </c>
    </row>
    <row r="711" spans="2:2">
      <c r="B711" s="150" t="str">
        <f>_xlfn.IFNA(VLOOKUP(D711,标准编码!A:B,2,0),"")</f>
        <v/>
      </c>
    </row>
    <row r="712" spans="2:2">
      <c r="B712" s="150" t="str">
        <f>_xlfn.IFNA(VLOOKUP(D712,标准编码!A:B,2,0),"")</f>
        <v/>
      </c>
    </row>
    <row r="713" spans="2:2">
      <c r="B713" s="150" t="str">
        <f>_xlfn.IFNA(VLOOKUP(D713,标准编码!A:B,2,0),"")</f>
        <v/>
      </c>
    </row>
    <row r="714" spans="2:2">
      <c r="B714" s="150" t="str">
        <f>_xlfn.IFNA(VLOOKUP(D714,标准编码!A:B,2,0),"")</f>
        <v/>
      </c>
    </row>
    <row r="715" spans="2:2">
      <c r="B715" s="150" t="str">
        <f>_xlfn.IFNA(VLOOKUP(D715,标准编码!A:B,2,0),"")</f>
        <v/>
      </c>
    </row>
    <row r="716" spans="2:2">
      <c r="B716" s="150" t="str">
        <f>_xlfn.IFNA(VLOOKUP(D716,标准编码!A:B,2,0),"")</f>
        <v/>
      </c>
    </row>
    <row r="717" spans="2:2">
      <c r="B717" s="150" t="str">
        <f>_xlfn.IFNA(VLOOKUP(D717,标准编码!A:B,2,0),"")</f>
        <v/>
      </c>
    </row>
    <row r="718" spans="2:2">
      <c r="B718" s="150" t="str">
        <f>_xlfn.IFNA(VLOOKUP(D718,标准编码!A:B,2,0),"")</f>
        <v/>
      </c>
    </row>
    <row r="719" spans="2:2">
      <c r="B719" s="150" t="str">
        <f>_xlfn.IFNA(VLOOKUP(D719,标准编码!A:B,2,0),"")</f>
        <v/>
      </c>
    </row>
    <row r="720" spans="2:2">
      <c r="B720" s="150" t="str">
        <f>_xlfn.IFNA(VLOOKUP(D720,标准编码!A:B,2,0),"")</f>
        <v/>
      </c>
    </row>
    <row r="721" spans="2:2">
      <c r="B721" s="150" t="str">
        <f>_xlfn.IFNA(VLOOKUP(D721,标准编码!A:B,2,0),"")</f>
        <v/>
      </c>
    </row>
    <row r="722" spans="2:2">
      <c r="B722" s="150" t="str">
        <f>_xlfn.IFNA(VLOOKUP(D722,标准编码!A:B,2,0),"")</f>
        <v/>
      </c>
    </row>
    <row r="723" spans="2:2">
      <c r="B723" s="150" t="str">
        <f>_xlfn.IFNA(VLOOKUP(D723,标准编码!A:B,2,0),"")</f>
        <v/>
      </c>
    </row>
    <row r="724" spans="2:2">
      <c r="B724" s="150" t="str">
        <f>_xlfn.IFNA(VLOOKUP(D724,标准编码!A:B,2,0),"")</f>
        <v/>
      </c>
    </row>
    <row r="725" spans="2:2">
      <c r="B725" s="150" t="str">
        <f>_xlfn.IFNA(VLOOKUP(D725,标准编码!A:B,2,0),"")</f>
        <v/>
      </c>
    </row>
    <row r="726" spans="2:2">
      <c r="B726" s="150" t="str">
        <f>_xlfn.IFNA(VLOOKUP(D726,标准编码!A:B,2,0),"")</f>
        <v/>
      </c>
    </row>
    <row r="727" spans="2:2">
      <c r="B727" s="150" t="str">
        <f>_xlfn.IFNA(VLOOKUP(D727,标准编码!A:B,2,0),"")</f>
        <v/>
      </c>
    </row>
    <row r="728" spans="2:2">
      <c r="B728" s="150" t="str">
        <f>_xlfn.IFNA(VLOOKUP(D728,标准编码!A:B,2,0),"")</f>
        <v/>
      </c>
    </row>
    <row r="729" spans="2:2">
      <c r="B729" s="150" t="str">
        <f>_xlfn.IFNA(VLOOKUP(D729,标准编码!A:B,2,0),"")</f>
        <v/>
      </c>
    </row>
    <row r="730" spans="2:2">
      <c r="B730" s="150" t="str">
        <f>_xlfn.IFNA(VLOOKUP(D730,标准编码!A:B,2,0),"")</f>
        <v/>
      </c>
    </row>
    <row r="731" spans="2:2">
      <c r="B731" s="150" t="str">
        <f>_xlfn.IFNA(VLOOKUP(D731,标准编码!A:B,2,0),"")</f>
        <v/>
      </c>
    </row>
    <row r="732" spans="2:2">
      <c r="B732" s="150" t="str">
        <f>_xlfn.IFNA(VLOOKUP(D732,标准编码!A:B,2,0),"")</f>
        <v/>
      </c>
    </row>
    <row r="733" spans="2:2">
      <c r="B733" s="150" t="str">
        <f>_xlfn.IFNA(VLOOKUP(D733,标准编码!A:B,2,0),"")</f>
        <v/>
      </c>
    </row>
    <row r="734" spans="2:2">
      <c r="B734" s="150" t="str">
        <f>_xlfn.IFNA(VLOOKUP(D734,标准编码!A:B,2,0),"")</f>
        <v/>
      </c>
    </row>
    <row r="735" spans="2:2">
      <c r="B735" s="150" t="str">
        <f>_xlfn.IFNA(VLOOKUP(D735,标准编码!A:B,2,0),"")</f>
        <v/>
      </c>
    </row>
    <row r="736" spans="2:2">
      <c r="B736" s="150" t="str">
        <f>_xlfn.IFNA(VLOOKUP(D736,标准编码!A:B,2,0),"")</f>
        <v/>
      </c>
    </row>
    <row r="737" spans="2:2">
      <c r="B737" s="150" t="str">
        <f>_xlfn.IFNA(VLOOKUP(D737,标准编码!A:B,2,0),"")</f>
        <v/>
      </c>
    </row>
    <row r="738" spans="2:2">
      <c r="B738" s="150" t="str">
        <f>_xlfn.IFNA(VLOOKUP(D738,标准编码!A:B,2,0),"")</f>
        <v/>
      </c>
    </row>
    <row r="739" spans="2:2">
      <c r="B739" s="150" t="str">
        <f>_xlfn.IFNA(VLOOKUP(D739,标准编码!A:B,2,0),"")</f>
        <v/>
      </c>
    </row>
    <row r="740" spans="2:2">
      <c r="B740" s="150" t="str">
        <f>_xlfn.IFNA(VLOOKUP(D740,标准编码!A:B,2,0),"")</f>
        <v/>
      </c>
    </row>
    <row r="741" spans="2:2">
      <c r="B741" s="150" t="str">
        <f>_xlfn.IFNA(VLOOKUP(D741,标准编码!A:B,2,0),"")</f>
        <v/>
      </c>
    </row>
    <row r="742" spans="2:2">
      <c r="B742" s="150" t="str">
        <f>_xlfn.IFNA(VLOOKUP(D742,标准编码!A:B,2,0),"")</f>
        <v/>
      </c>
    </row>
    <row r="743" spans="2:2">
      <c r="B743" s="150" t="str">
        <f>_xlfn.IFNA(VLOOKUP(D743,标准编码!A:B,2,0),"")</f>
        <v/>
      </c>
    </row>
    <row r="744" spans="2:2">
      <c r="B744" s="150" t="str">
        <f>_xlfn.IFNA(VLOOKUP(D744,标准编码!A:B,2,0),"")</f>
        <v/>
      </c>
    </row>
    <row r="745" spans="2:2">
      <c r="B745" s="150" t="str">
        <f>_xlfn.IFNA(VLOOKUP(D745,标准编码!A:B,2,0),"")</f>
        <v/>
      </c>
    </row>
    <row r="746" spans="2:2">
      <c r="B746" s="150" t="str">
        <f>_xlfn.IFNA(VLOOKUP(D746,标准编码!A:B,2,0),"")</f>
        <v/>
      </c>
    </row>
    <row r="747" spans="2:2">
      <c r="B747" s="150" t="str">
        <f>_xlfn.IFNA(VLOOKUP(D747,标准编码!A:B,2,0),"")</f>
        <v/>
      </c>
    </row>
    <row r="748" spans="2:2">
      <c r="B748" s="150" t="str">
        <f>_xlfn.IFNA(VLOOKUP(D748,标准编码!A:B,2,0),"")</f>
        <v/>
      </c>
    </row>
    <row r="749" spans="2:2">
      <c r="B749" s="150" t="str">
        <f>_xlfn.IFNA(VLOOKUP(D749,标准编码!A:B,2,0),"")</f>
        <v/>
      </c>
    </row>
    <row r="750" spans="2:2">
      <c r="B750" s="150" t="str">
        <f>_xlfn.IFNA(VLOOKUP(D750,标准编码!A:B,2,0),"")</f>
        <v/>
      </c>
    </row>
    <row r="751" spans="2:2">
      <c r="B751" s="150" t="str">
        <f>_xlfn.IFNA(VLOOKUP(D751,标准编码!A:B,2,0),"")</f>
        <v/>
      </c>
    </row>
    <row r="752" spans="2:2">
      <c r="B752" s="150" t="str">
        <f>_xlfn.IFNA(VLOOKUP(D752,标准编码!A:B,2,0),"")</f>
        <v/>
      </c>
    </row>
    <row r="753" spans="2:2">
      <c r="B753" s="150" t="str">
        <f>_xlfn.IFNA(VLOOKUP(D753,标准编码!A:B,2,0),"")</f>
        <v/>
      </c>
    </row>
    <row r="754" spans="2:2">
      <c r="B754" s="150" t="str">
        <f>_xlfn.IFNA(VLOOKUP(D754,标准编码!A:B,2,0),"")</f>
        <v/>
      </c>
    </row>
    <row r="755" spans="2:2">
      <c r="B755" s="150" t="str">
        <f>_xlfn.IFNA(VLOOKUP(D755,标准编码!A:B,2,0),"")</f>
        <v/>
      </c>
    </row>
    <row r="756" spans="2:2">
      <c r="B756" s="150" t="str">
        <f>_xlfn.IFNA(VLOOKUP(D756,标准编码!A:B,2,0),"")</f>
        <v/>
      </c>
    </row>
    <row r="757" spans="2:2">
      <c r="B757" s="150" t="str">
        <f>_xlfn.IFNA(VLOOKUP(D757,标准编码!A:B,2,0),"")</f>
        <v/>
      </c>
    </row>
    <row r="758" spans="2:2">
      <c r="B758" s="150" t="str">
        <f>_xlfn.IFNA(VLOOKUP(D758,标准编码!A:B,2,0),"")</f>
        <v/>
      </c>
    </row>
    <row r="759" spans="2:2">
      <c r="B759" s="150" t="str">
        <f>_xlfn.IFNA(VLOOKUP(D759,标准编码!A:B,2,0),"")</f>
        <v/>
      </c>
    </row>
    <row r="760" spans="2:2">
      <c r="B760" s="150" t="str">
        <f>_xlfn.IFNA(VLOOKUP(D760,标准编码!A:B,2,0),"")</f>
        <v/>
      </c>
    </row>
    <row r="761" spans="2:2">
      <c r="B761" s="150" t="str">
        <f>_xlfn.IFNA(VLOOKUP(D761,标准编码!A:B,2,0),"")</f>
        <v/>
      </c>
    </row>
    <row r="762" spans="2:2">
      <c r="B762" s="150" t="str">
        <f>_xlfn.IFNA(VLOOKUP(D762,标准编码!A:B,2,0),"")</f>
        <v/>
      </c>
    </row>
    <row r="763" spans="2:2">
      <c r="B763" s="150" t="str">
        <f>_xlfn.IFNA(VLOOKUP(D763,标准编码!A:B,2,0),"")</f>
        <v/>
      </c>
    </row>
    <row r="764" spans="2:2">
      <c r="B764" s="150" t="str">
        <f>_xlfn.IFNA(VLOOKUP(D764,标准编码!A:B,2,0),"")</f>
        <v/>
      </c>
    </row>
    <row r="765" spans="2:2">
      <c r="B765" s="150" t="str">
        <f>_xlfn.IFNA(VLOOKUP(D765,标准编码!A:B,2,0),"")</f>
        <v/>
      </c>
    </row>
    <row r="766" spans="2:2">
      <c r="B766" s="150" t="str">
        <f>_xlfn.IFNA(VLOOKUP(D766,标准编码!A:B,2,0),"")</f>
        <v/>
      </c>
    </row>
    <row r="767" spans="2:2">
      <c r="B767" s="150" t="str">
        <f>_xlfn.IFNA(VLOOKUP(D767,标准编码!A:B,2,0),"")</f>
        <v/>
      </c>
    </row>
    <row r="768" spans="2:2">
      <c r="B768" s="150" t="str">
        <f>_xlfn.IFNA(VLOOKUP(D768,标准编码!A:B,2,0),"")</f>
        <v/>
      </c>
    </row>
    <row r="769" spans="2:2">
      <c r="B769" s="150" t="str">
        <f>_xlfn.IFNA(VLOOKUP(D769,标准编码!A:B,2,0),"")</f>
        <v/>
      </c>
    </row>
    <row r="770" spans="2:2">
      <c r="B770" s="150" t="str">
        <f>_xlfn.IFNA(VLOOKUP(D770,标准编码!A:B,2,0),"")</f>
        <v/>
      </c>
    </row>
    <row r="771" spans="2:2">
      <c r="B771" s="150" t="str">
        <f>_xlfn.IFNA(VLOOKUP(D771,标准编码!A:B,2,0),"")</f>
        <v/>
      </c>
    </row>
    <row r="772" spans="2:2">
      <c r="B772" s="150" t="str">
        <f>_xlfn.IFNA(VLOOKUP(D772,标准编码!A:B,2,0),"")</f>
        <v/>
      </c>
    </row>
    <row r="773" spans="2:2">
      <c r="B773" s="150" t="str">
        <f>_xlfn.IFNA(VLOOKUP(D773,标准编码!A:B,2,0),"")</f>
        <v/>
      </c>
    </row>
    <row r="774" spans="2:2">
      <c r="B774" s="150" t="str">
        <f>_xlfn.IFNA(VLOOKUP(D774,标准编码!A:B,2,0),"")</f>
        <v/>
      </c>
    </row>
    <row r="775" spans="2:2">
      <c r="B775" s="150" t="str">
        <f>_xlfn.IFNA(VLOOKUP(D775,标准编码!A:B,2,0),"")</f>
        <v/>
      </c>
    </row>
    <row r="776" spans="2:2">
      <c r="B776" s="150" t="str">
        <f>_xlfn.IFNA(VLOOKUP(D776,标准编码!A:B,2,0),"")</f>
        <v/>
      </c>
    </row>
    <row r="777" spans="2:2">
      <c r="B777" s="150" t="str">
        <f>_xlfn.IFNA(VLOOKUP(D777,标准编码!A:B,2,0),"")</f>
        <v/>
      </c>
    </row>
    <row r="778" spans="2:2">
      <c r="B778" s="150" t="str">
        <f>_xlfn.IFNA(VLOOKUP(D778,标准编码!A:B,2,0),"")</f>
        <v/>
      </c>
    </row>
    <row r="779" spans="2:2">
      <c r="B779" s="150" t="str">
        <f>_xlfn.IFNA(VLOOKUP(D779,标准编码!A:B,2,0),"")</f>
        <v/>
      </c>
    </row>
    <row r="780" spans="2:2">
      <c r="B780" s="150" t="str">
        <f>_xlfn.IFNA(VLOOKUP(D780,标准编码!A:B,2,0),"")</f>
        <v/>
      </c>
    </row>
    <row r="781" spans="2:2">
      <c r="B781" s="150" t="str">
        <f>_xlfn.IFNA(VLOOKUP(D781,标准编码!A:B,2,0),"")</f>
        <v/>
      </c>
    </row>
    <row r="782" spans="2:2">
      <c r="B782" s="150" t="str">
        <f>_xlfn.IFNA(VLOOKUP(D782,标准编码!A:B,2,0),"")</f>
        <v/>
      </c>
    </row>
    <row r="783" spans="2:2">
      <c r="B783" s="150" t="str">
        <f>_xlfn.IFNA(VLOOKUP(D783,标准编码!A:B,2,0),"")</f>
        <v/>
      </c>
    </row>
    <row r="784" spans="2:2">
      <c r="B784" s="150" t="str">
        <f>_xlfn.IFNA(VLOOKUP(D784,标准编码!A:B,2,0),"")</f>
        <v/>
      </c>
    </row>
    <row r="785" spans="2:2">
      <c r="B785" s="150" t="str">
        <f>_xlfn.IFNA(VLOOKUP(D785,标准编码!A:B,2,0),"")</f>
        <v/>
      </c>
    </row>
    <row r="786" spans="2:2">
      <c r="B786" s="150" t="str">
        <f>_xlfn.IFNA(VLOOKUP(D786,标准编码!A:B,2,0),"")</f>
        <v/>
      </c>
    </row>
    <row r="787" spans="2:2">
      <c r="B787" s="150" t="str">
        <f>_xlfn.IFNA(VLOOKUP(D787,标准编码!A:B,2,0),"")</f>
        <v/>
      </c>
    </row>
    <row r="788" spans="2:2">
      <c r="B788" s="150" t="str">
        <f>_xlfn.IFNA(VLOOKUP(D788,标准编码!A:B,2,0),"")</f>
        <v/>
      </c>
    </row>
    <row r="789" spans="2:2">
      <c r="B789" s="150" t="str">
        <f>_xlfn.IFNA(VLOOKUP(D789,标准编码!A:B,2,0),"")</f>
        <v/>
      </c>
    </row>
    <row r="790" spans="2:2">
      <c r="B790" s="150" t="str">
        <f>_xlfn.IFNA(VLOOKUP(D790,标准编码!A:B,2,0),"")</f>
        <v/>
      </c>
    </row>
    <row r="791" spans="2:2">
      <c r="B791" s="150" t="str">
        <f>_xlfn.IFNA(VLOOKUP(D791,标准编码!A:B,2,0),"")</f>
        <v/>
      </c>
    </row>
    <row r="792" spans="2:2">
      <c r="B792" s="150" t="str">
        <f>_xlfn.IFNA(VLOOKUP(D792,标准编码!A:B,2,0),"")</f>
        <v/>
      </c>
    </row>
    <row r="793" spans="2:2">
      <c r="B793" s="150" t="str">
        <f>_xlfn.IFNA(VLOOKUP(D793,标准编码!A:B,2,0),"")</f>
        <v/>
      </c>
    </row>
    <row r="794" spans="2:2">
      <c r="B794" s="150" t="str">
        <f>_xlfn.IFNA(VLOOKUP(D794,标准编码!A:B,2,0),"")</f>
        <v/>
      </c>
    </row>
    <row r="795" spans="2:2">
      <c r="B795" s="150" t="str">
        <f>_xlfn.IFNA(VLOOKUP(D795,标准编码!A:B,2,0),"")</f>
        <v/>
      </c>
    </row>
    <row r="796" spans="2:2">
      <c r="B796" s="150" t="str">
        <f>_xlfn.IFNA(VLOOKUP(D796,标准编码!A:B,2,0),"")</f>
        <v/>
      </c>
    </row>
    <row r="797" spans="2:2">
      <c r="B797" s="150" t="str">
        <f>_xlfn.IFNA(VLOOKUP(D797,标准编码!A:B,2,0),"")</f>
        <v/>
      </c>
    </row>
    <row r="798" spans="2:2">
      <c r="B798" s="150" t="str">
        <f>_xlfn.IFNA(VLOOKUP(D798,标准编码!A:B,2,0),"")</f>
        <v/>
      </c>
    </row>
    <row r="799" spans="2:2">
      <c r="B799" s="150" t="str">
        <f>_xlfn.IFNA(VLOOKUP(D799,标准编码!A:B,2,0),"")</f>
        <v/>
      </c>
    </row>
    <row r="800" spans="2:2">
      <c r="B800" s="150" t="str">
        <f>_xlfn.IFNA(VLOOKUP(D800,标准编码!A:B,2,0),"")</f>
        <v/>
      </c>
    </row>
    <row r="801" spans="2:2">
      <c r="B801" s="150" t="str">
        <f>_xlfn.IFNA(VLOOKUP(D801,标准编码!A:B,2,0),"")</f>
        <v/>
      </c>
    </row>
    <row r="802" spans="2:2">
      <c r="B802" s="150" t="str">
        <f>_xlfn.IFNA(VLOOKUP(D802,标准编码!A:B,2,0),"")</f>
        <v/>
      </c>
    </row>
    <row r="803" spans="2:2">
      <c r="B803" s="150" t="str">
        <f>_xlfn.IFNA(VLOOKUP(D803,标准编码!A:B,2,0),"")</f>
        <v/>
      </c>
    </row>
    <row r="804" spans="2:2">
      <c r="B804" s="150" t="str">
        <f>_xlfn.IFNA(VLOOKUP(D804,标准编码!A:B,2,0),"")</f>
        <v/>
      </c>
    </row>
    <row r="805" spans="2:2">
      <c r="B805" s="150" t="str">
        <f>_xlfn.IFNA(VLOOKUP(D805,标准编码!A:B,2,0),"")</f>
        <v/>
      </c>
    </row>
    <row r="806" spans="2:2">
      <c r="B806" s="150" t="str">
        <f>_xlfn.IFNA(VLOOKUP(D806,标准编码!A:B,2,0),"")</f>
        <v/>
      </c>
    </row>
    <row r="807" spans="2:2">
      <c r="B807" s="150" t="str">
        <f>_xlfn.IFNA(VLOOKUP(D807,标准编码!A:B,2,0),"")</f>
        <v/>
      </c>
    </row>
    <row r="808" spans="2:2">
      <c r="B808" s="150" t="str">
        <f>_xlfn.IFNA(VLOOKUP(D808,标准编码!A:B,2,0),"")</f>
        <v/>
      </c>
    </row>
    <row r="809" spans="2:2">
      <c r="B809" s="150" t="str">
        <f>_xlfn.IFNA(VLOOKUP(D809,标准编码!A:B,2,0),"")</f>
        <v/>
      </c>
    </row>
    <row r="810" spans="2:2">
      <c r="B810" s="150" t="str">
        <f>_xlfn.IFNA(VLOOKUP(D810,标准编码!A:B,2,0),"")</f>
        <v/>
      </c>
    </row>
    <row r="811" spans="2:2">
      <c r="B811" s="150" t="str">
        <f>_xlfn.IFNA(VLOOKUP(D811,标准编码!A:B,2,0),"")</f>
        <v/>
      </c>
    </row>
    <row r="812" spans="2:2">
      <c r="B812" s="150" t="str">
        <f>_xlfn.IFNA(VLOOKUP(D812,标准编码!A:B,2,0),"")</f>
        <v/>
      </c>
    </row>
    <row r="813" spans="2:2">
      <c r="B813" s="150" t="str">
        <f>_xlfn.IFNA(VLOOKUP(D813,标准编码!A:B,2,0),"")</f>
        <v/>
      </c>
    </row>
    <row r="814" spans="2:2">
      <c r="B814" s="150" t="str">
        <f>_xlfn.IFNA(VLOOKUP(D814,标准编码!A:B,2,0),"")</f>
        <v/>
      </c>
    </row>
    <row r="815" spans="2:2">
      <c r="B815" s="150" t="str">
        <f>_xlfn.IFNA(VLOOKUP(D815,标准编码!A:B,2,0),"")</f>
        <v/>
      </c>
    </row>
    <row r="816" spans="2:2">
      <c r="B816" s="150" t="str">
        <f>_xlfn.IFNA(VLOOKUP(D816,标准编码!A:B,2,0),"")</f>
        <v/>
      </c>
    </row>
    <row r="817" spans="2:2">
      <c r="B817" s="150" t="str">
        <f>_xlfn.IFNA(VLOOKUP(D817,标准编码!A:B,2,0),"")</f>
        <v/>
      </c>
    </row>
    <row r="818" spans="2:2">
      <c r="B818" s="150" t="str">
        <f>_xlfn.IFNA(VLOOKUP(D818,标准编码!A:B,2,0),"")</f>
        <v/>
      </c>
    </row>
    <row r="819" spans="2:2">
      <c r="B819" s="150" t="str">
        <f>_xlfn.IFNA(VLOOKUP(D819,标准编码!A:B,2,0),"")</f>
        <v/>
      </c>
    </row>
    <row r="820" spans="2:2">
      <c r="B820" s="150" t="str">
        <f>_xlfn.IFNA(VLOOKUP(D820,标准编码!A:B,2,0),"")</f>
        <v/>
      </c>
    </row>
    <row r="821" spans="2:2">
      <c r="B821" s="150" t="str">
        <f>_xlfn.IFNA(VLOOKUP(D821,标准编码!A:B,2,0),"")</f>
        <v/>
      </c>
    </row>
    <row r="822" spans="2:2">
      <c r="B822" s="150" t="str">
        <f>_xlfn.IFNA(VLOOKUP(D822,标准编码!A:B,2,0),"")</f>
        <v/>
      </c>
    </row>
    <row r="823" spans="2:2">
      <c r="B823" s="150" t="str">
        <f>_xlfn.IFNA(VLOOKUP(D823,标准编码!A:B,2,0),"")</f>
        <v/>
      </c>
    </row>
    <row r="824" spans="2:2">
      <c r="B824" s="150" t="str">
        <f>_xlfn.IFNA(VLOOKUP(D824,标准编码!A:B,2,0),"")</f>
        <v/>
      </c>
    </row>
    <row r="825" spans="2:2">
      <c r="B825" s="150" t="str">
        <f>_xlfn.IFNA(VLOOKUP(D825,标准编码!A:B,2,0),"")</f>
        <v/>
      </c>
    </row>
    <row r="826" spans="2:2">
      <c r="B826" s="150" t="str">
        <f>_xlfn.IFNA(VLOOKUP(D826,标准编码!A:B,2,0),"")</f>
        <v/>
      </c>
    </row>
    <row r="827" spans="2:2">
      <c r="B827" s="150" t="str">
        <f>_xlfn.IFNA(VLOOKUP(D827,标准编码!A:B,2,0),"")</f>
        <v/>
      </c>
    </row>
    <row r="828" spans="2:2">
      <c r="B828" s="150" t="str">
        <f>_xlfn.IFNA(VLOOKUP(D828,标准编码!A:B,2,0),"")</f>
        <v/>
      </c>
    </row>
    <row r="829" spans="2:2">
      <c r="B829" s="150" t="str">
        <f>_xlfn.IFNA(VLOOKUP(D829,标准编码!A:B,2,0),"")</f>
        <v/>
      </c>
    </row>
    <row r="830" spans="2:2">
      <c r="B830" s="150" t="str">
        <f>_xlfn.IFNA(VLOOKUP(D830,标准编码!A:B,2,0),"")</f>
        <v/>
      </c>
    </row>
    <row r="831" spans="2:2">
      <c r="B831" s="150" t="str">
        <f>_xlfn.IFNA(VLOOKUP(D831,标准编码!A:B,2,0),"")</f>
        <v/>
      </c>
    </row>
    <row r="832" spans="2:2">
      <c r="B832" s="150" t="str">
        <f>_xlfn.IFNA(VLOOKUP(D832,标准编码!A:B,2,0),"")</f>
        <v/>
      </c>
    </row>
    <row r="833" spans="2:2">
      <c r="B833" s="150" t="str">
        <f>_xlfn.IFNA(VLOOKUP(D833,标准编码!A:B,2,0),"")</f>
        <v/>
      </c>
    </row>
    <row r="834" spans="2:2">
      <c r="B834" s="150" t="str">
        <f>_xlfn.IFNA(VLOOKUP(D834,标准编码!A:B,2,0),"")</f>
        <v/>
      </c>
    </row>
    <row r="835" spans="2:2">
      <c r="B835" s="150" t="str">
        <f>_xlfn.IFNA(VLOOKUP(D835,标准编码!A:B,2,0),"")</f>
        <v/>
      </c>
    </row>
    <row r="836" spans="2:2">
      <c r="B836" s="150" t="str">
        <f>_xlfn.IFNA(VLOOKUP(D836,标准编码!A:B,2,0),"")</f>
        <v/>
      </c>
    </row>
    <row r="837" spans="2:2">
      <c r="B837" s="150" t="str">
        <f>_xlfn.IFNA(VLOOKUP(D837,标准编码!A:B,2,0),"")</f>
        <v/>
      </c>
    </row>
    <row r="838" spans="2:2">
      <c r="B838" s="150" t="str">
        <f>_xlfn.IFNA(VLOOKUP(D838,标准编码!A:B,2,0),"")</f>
        <v/>
      </c>
    </row>
    <row r="839" spans="2:2">
      <c r="B839" s="150" t="str">
        <f>_xlfn.IFNA(VLOOKUP(D839,标准编码!A:B,2,0),"")</f>
        <v/>
      </c>
    </row>
    <row r="840" spans="2:2">
      <c r="B840" s="150" t="str">
        <f>_xlfn.IFNA(VLOOKUP(D840,标准编码!A:B,2,0),"")</f>
        <v/>
      </c>
    </row>
    <row r="841" spans="2:2">
      <c r="B841" s="150" t="str">
        <f>_xlfn.IFNA(VLOOKUP(D841,标准编码!A:B,2,0),"")</f>
        <v/>
      </c>
    </row>
    <row r="842" spans="2:2">
      <c r="B842" s="150" t="str">
        <f>_xlfn.IFNA(VLOOKUP(D842,标准编码!A:B,2,0),"")</f>
        <v/>
      </c>
    </row>
    <row r="843" spans="2:2">
      <c r="B843" s="150" t="str">
        <f>_xlfn.IFNA(VLOOKUP(D843,标准编码!A:B,2,0),"")</f>
        <v/>
      </c>
    </row>
    <row r="844" spans="2:2">
      <c r="B844" s="150" t="str">
        <f>_xlfn.IFNA(VLOOKUP(D844,标准编码!A:B,2,0),"")</f>
        <v/>
      </c>
    </row>
    <row r="845" spans="2:2">
      <c r="B845" s="150" t="str">
        <f>_xlfn.IFNA(VLOOKUP(D845,标准编码!A:B,2,0),"")</f>
        <v/>
      </c>
    </row>
    <row r="846" spans="2:2">
      <c r="B846" s="150" t="str">
        <f>_xlfn.IFNA(VLOOKUP(D846,标准编码!A:B,2,0),"")</f>
        <v/>
      </c>
    </row>
    <row r="847" spans="2:2">
      <c r="B847" s="150" t="str">
        <f>_xlfn.IFNA(VLOOKUP(D847,标准编码!A:B,2,0),"")</f>
        <v/>
      </c>
    </row>
    <row r="848" spans="2:2">
      <c r="B848" s="150" t="str">
        <f>_xlfn.IFNA(VLOOKUP(D848,标准编码!A:B,2,0),"")</f>
        <v/>
      </c>
    </row>
    <row r="849" spans="2:2">
      <c r="B849" s="150" t="str">
        <f>_xlfn.IFNA(VLOOKUP(D849,标准编码!A:B,2,0),"")</f>
        <v/>
      </c>
    </row>
    <row r="850" spans="2:2">
      <c r="B850" s="150" t="str">
        <f>_xlfn.IFNA(VLOOKUP(D850,标准编码!A:B,2,0),"")</f>
        <v/>
      </c>
    </row>
    <row r="851" spans="2:2">
      <c r="B851" s="150" t="str">
        <f>_xlfn.IFNA(VLOOKUP(D851,标准编码!A:B,2,0),"")</f>
        <v/>
      </c>
    </row>
    <row r="852" spans="2:2">
      <c r="B852" s="150" t="str">
        <f>_xlfn.IFNA(VLOOKUP(D852,标准编码!A:B,2,0),"")</f>
        <v/>
      </c>
    </row>
    <row r="853" spans="2:2">
      <c r="B853" s="150" t="str">
        <f>_xlfn.IFNA(VLOOKUP(D853,标准编码!A:B,2,0),"")</f>
        <v/>
      </c>
    </row>
    <row r="854" spans="2:2">
      <c r="B854" s="150" t="str">
        <f>_xlfn.IFNA(VLOOKUP(D854,标准编码!A:B,2,0),"")</f>
        <v/>
      </c>
    </row>
    <row r="855" spans="2:2">
      <c r="B855" s="150" t="str">
        <f>_xlfn.IFNA(VLOOKUP(D855,标准编码!A:B,2,0),"")</f>
        <v/>
      </c>
    </row>
    <row r="856" spans="2:2">
      <c r="B856" s="150" t="str">
        <f>_xlfn.IFNA(VLOOKUP(D856,标准编码!A:B,2,0),"")</f>
        <v/>
      </c>
    </row>
    <row r="857" spans="2:2">
      <c r="B857" s="150" t="str">
        <f>_xlfn.IFNA(VLOOKUP(D857,标准编码!A:B,2,0),"")</f>
        <v/>
      </c>
    </row>
    <row r="858" spans="2:2">
      <c r="B858" s="150" t="str">
        <f>_xlfn.IFNA(VLOOKUP(D858,标准编码!A:B,2,0),"")</f>
        <v/>
      </c>
    </row>
    <row r="859" spans="2:2">
      <c r="B859" s="150" t="str">
        <f>_xlfn.IFNA(VLOOKUP(D859,标准编码!A:B,2,0),"")</f>
        <v/>
      </c>
    </row>
    <row r="860" spans="2:2">
      <c r="B860" s="150" t="str">
        <f>_xlfn.IFNA(VLOOKUP(D860,标准编码!A:B,2,0),"")</f>
        <v/>
      </c>
    </row>
    <row r="861" spans="2:2">
      <c r="B861" s="150" t="str">
        <f>_xlfn.IFNA(VLOOKUP(D861,标准编码!A:B,2,0),"")</f>
        <v/>
      </c>
    </row>
    <row r="862" spans="2:2">
      <c r="B862" s="150" t="str">
        <f>_xlfn.IFNA(VLOOKUP(D862,标准编码!A:B,2,0),"")</f>
        <v/>
      </c>
    </row>
    <row r="863" spans="2:2">
      <c r="B863" s="150" t="str">
        <f>_xlfn.IFNA(VLOOKUP(D863,标准编码!A:B,2,0),"")</f>
        <v/>
      </c>
    </row>
    <row r="864" spans="2:2">
      <c r="B864" s="150" t="str">
        <f>_xlfn.IFNA(VLOOKUP(D864,标准编码!A:B,2,0),"")</f>
        <v/>
      </c>
    </row>
    <row r="865" spans="2:2">
      <c r="B865" s="150" t="str">
        <f>_xlfn.IFNA(VLOOKUP(D865,标准编码!A:B,2,0),"")</f>
        <v/>
      </c>
    </row>
    <row r="866" spans="2:2">
      <c r="B866" s="150" t="str">
        <f>_xlfn.IFNA(VLOOKUP(D866,标准编码!A:B,2,0),"")</f>
        <v/>
      </c>
    </row>
    <row r="867" spans="2:2">
      <c r="B867" s="150" t="str">
        <f>_xlfn.IFNA(VLOOKUP(D867,标准编码!A:B,2,0),"")</f>
        <v/>
      </c>
    </row>
    <row r="868" spans="2:2">
      <c r="B868" s="150" t="str">
        <f>_xlfn.IFNA(VLOOKUP(D868,标准编码!A:B,2,0),"")</f>
        <v/>
      </c>
    </row>
    <row r="869" spans="2:2">
      <c r="B869" s="150" t="str">
        <f>_xlfn.IFNA(VLOOKUP(D869,标准编码!A:B,2,0),"")</f>
        <v/>
      </c>
    </row>
    <row r="870" spans="2:2">
      <c r="B870" s="150" t="str">
        <f>_xlfn.IFNA(VLOOKUP(D870,标准编码!A:B,2,0),"")</f>
        <v/>
      </c>
    </row>
    <row r="871" spans="2:2">
      <c r="B871" s="150" t="str">
        <f>_xlfn.IFNA(VLOOKUP(D871,标准编码!A:B,2,0),"")</f>
        <v/>
      </c>
    </row>
    <row r="872" spans="2:2">
      <c r="B872" s="150" t="str">
        <f>_xlfn.IFNA(VLOOKUP(D872,标准编码!A:B,2,0),"")</f>
        <v/>
      </c>
    </row>
    <row r="873" spans="2:2">
      <c r="B873" s="150" t="str">
        <f>_xlfn.IFNA(VLOOKUP(D873,标准编码!A:B,2,0),"")</f>
        <v/>
      </c>
    </row>
    <row r="874" spans="2:2">
      <c r="B874" s="150" t="str">
        <f>_xlfn.IFNA(VLOOKUP(D874,标准编码!A:B,2,0),"")</f>
        <v/>
      </c>
    </row>
    <row r="875" spans="2:2">
      <c r="B875" s="150" t="str">
        <f>_xlfn.IFNA(VLOOKUP(D875,标准编码!A:B,2,0),"")</f>
        <v/>
      </c>
    </row>
    <row r="876" spans="2:2">
      <c r="B876" s="150" t="str">
        <f>_xlfn.IFNA(VLOOKUP(D876,标准编码!A:B,2,0),"")</f>
        <v/>
      </c>
    </row>
    <row r="877" spans="2:2">
      <c r="B877" s="150" t="str">
        <f>_xlfn.IFNA(VLOOKUP(D877,标准编码!A:B,2,0),"")</f>
        <v/>
      </c>
    </row>
    <row r="878" spans="2:2">
      <c r="B878" s="150" t="str">
        <f>_xlfn.IFNA(VLOOKUP(D878,标准编码!A:B,2,0),"")</f>
        <v/>
      </c>
    </row>
    <row r="879" spans="2:2">
      <c r="B879" s="150" t="str">
        <f>_xlfn.IFNA(VLOOKUP(D879,标准编码!A:B,2,0),"")</f>
        <v/>
      </c>
    </row>
    <row r="880" spans="2:2">
      <c r="B880" s="150" t="str">
        <f>_xlfn.IFNA(VLOOKUP(D880,标准编码!A:B,2,0),"")</f>
        <v/>
      </c>
    </row>
    <row r="881" spans="2:2">
      <c r="B881" s="150" t="str">
        <f>_xlfn.IFNA(VLOOKUP(D881,标准编码!A:B,2,0),"")</f>
        <v/>
      </c>
    </row>
    <row r="882" spans="2:2">
      <c r="B882" s="150" t="str">
        <f>_xlfn.IFNA(VLOOKUP(D882,标准编码!A:B,2,0),"")</f>
        <v/>
      </c>
    </row>
    <row r="883" spans="2:2">
      <c r="B883" s="150" t="str">
        <f>_xlfn.IFNA(VLOOKUP(D883,标准编码!A:B,2,0),"")</f>
        <v/>
      </c>
    </row>
    <row r="884" spans="2:2">
      <c r="B884" s="150" t="str">
        <f>_xlfn.IFNA(VLOOKUP(D884,标准编码!A:B,2,0),"")</f>
        <v/>
      </c>
    </row>
    <row r="885" spans="2:2">
      <c r="B885" s="150" t="str">
        <f>_xlfn.IFNA(VLOOKUP(D885,标准编码!A:B,2,0),"")</f>
        <v/>
      </c>
    </row>
    <row r="886" spans="2:2">
      <c r="B886" s="150" t="str">
        <f>_xlfn.IFNA(VLOOKUP(D886,标准编码!A:B,2,0),"")</f>
        <v/>
      </c>
    </row>
    <row r="887" spans="2:2">
      <c r="B887" s="150" t="str">
        <f>_xlfn.IFNA(VLOOKUP(D887,标准编码!A:B,2,0),"")</f>
        <v/>
      </c>
    </row>
    <row r="888" spans="2:2">
      <c r="B888" s="150" t="str">
        <f>_xlfn.IFNA(VLOOKUP(D888,标准编码!A:B,2,0),"")</f>
        <v/>
      </c>
    </row>
    <row r="889" spans="2:2">
      <c r="B889" s="150" t="str">
        <f>_xlfn.IFNA(VLOOKUP(D889,标准编码!A:B,2,0),"")</f>
        <v/>
      </c>
    </row>
    <row r="890" spans="2:2">
      <c r="B890" s="150" t="str">
        <f>_xlfn.IFNA(VLOOKUP(D890,标准编码!A:B,2,0),"")</f>
        <v/>
      </c>
    </row>
    <row r="891" spans="2:2">
      <c r="B891" s="150" t="str">
        <f>_xlfn.IFNA(VLOOKUP(D891,标准编码!A:B,2,0),"")</f>
        <v/>
      </c>
    </row>
    <row r="892" spans="2:2">
      <c r="B892" s="150" t="str">
        <f>_xlfn.IFNA(VLOOKUP(D892,标准编码!A:B,2,0),"")</f>
        <v/>
      </c>
    </row>
    <row r="893" spans="2:2">
      <c r="B893" s="150" t="str">
        <f>_xlfn.IFNA(VLOOKUP(D893,标准编码!A:B,2,0),"")</f>
        <v/>
      </c>
    </row>
    <row r="894" spans="2:2">
      <c r="B894" s="150" t="str">
        <f>_xlfn.IFNA(VLOOKUP(D894,标准编码!A:B,2,0),"")</f>
        <v/>
      </c>
    </row>
    <row r="895" spans="2:2">
      <c r="B895" s="150" t="str">
        <f>_xlfn.IFNA(VLOOKUP(D895,标准编码!A:B,2,0),"")</f>
        <v/>
      </c>
    </row>
    <row r="896" spans="2:2">
      <c r="B896" s="150" t="str">
        <f>_xlfn.IFNA(VLOOKUP(D896,标准编码!A:B,2,0),"")</f>
        <v/>
      </c>
    </row>
    <row r="897" spans="2:2">
      <c r="B897" s="150" t="str">
        <f>_xlfn.IFNA(VLOOKUP(D897,标准编码!A:B,2,0),"")</f>
        <v/>
      </c>
    </row>
    <row r="898" spans="2:2">
      <c r="B898" s="150" t="str">
        <f>_xlfn.IFNA(VLOOKUP(D898,标准编码!A:B,2,0),"")</f>
        <v/>
      </c>
    </row>
    <row r="899" spans="2:2">
      <c r="B899" s="150" t="str">
        <f>_xlfn.IFNA(VLOOKUP(D899,标准编码!A:B,2,0),"")</f>
        <v/>
      </c>
    </row>
    <row r="900" spans="2:2">
      <c r="B900" s="150" t="str">
        <f>_xlfn.IFNA(VLOOKUP(D900,标准编码!A:B,2,0),"")</f>
        <v/>
      </c>
    </row>
    <row r="901" spans="2:2">
      <c r="B901" s="150" t="str">
        <f>_xlfn.IFNA(VLOOKUP(D901,标准编码!A:B,2,0),"")</f>
        <v/>
      </c>
    </row>
    <row r="902" spans="2:2">
      <c r="B902" s="150" t="str">
        <f>_xlfn.IFNA(VLOOKUP(D902,标准编码!A:B,2,0),"")</f>
        <v/>
      </c>
    </row>
    <row r="903" spans="2:2">
      <c r="B903" s="150" t="str">
        <f>_xlfn.IFNA(VLOOKUP(D903,标准编码!A:B,2,0),"")</f>
        <v/>
      </c>
    </row>
    <row r="904" spans="2:2">
      <c r="B904" s="150" t="str">
        <f>_xlfn.IFNA(VLOOKUP(D904,标准编码!A:B,2,0),"")</f>
        <v/>
      </c>
    </row>
    <row r="905" spans="2:2">
      <c r="B905" s="150" t="str">
        <f>_xlfn.IFNA(VLOOKUP(D905,标准编码!A:B,2,0),"")</f>
        <v/>
      </c>
    </row>
    <row r="906" spans="2:2">
      <c r="B906" s="150" t="str">
        <f>_xlfn.IFNA(VLOOKUP(D906,标准编码!A:B,2,0),"")</f>
        <v/>
      </c>
    </row>
    <row r="907" spans="2:2">
      <c r="B907" s="150" t="str">
        <f>_xlfn.IFNA(VLOOKUP(D907,标准编码!A:B,2,0),"")</f>
        <v/>
      </c>
    </row>
    <row r="908" spans="2:2">
      <c r="B908" s="150" t="str">
        <f>_xlfn.IFNA(VLOOKUP(D908,标准编码!A:B,2,0),"")</f>
        <v/>
      </c>
    </row>
    <row r="909" spans="2:2">
      <c r="B909" s="150" t="str">
        <f>_xlfn.IFNA(VLOOKUP(D909,标准编码!A:B,2,0),"")</f>
        <v/>
      </c>
    </row>
    <row r="910" spans="2:2">
      <c r="B910" s="150" t="str">
        <f>_xlfn.IFNA(VLOOKUP(D910,标准编码!A:B,2,0),"")</f>
        <v/>
      </c>
    </row>
    <row r="911" spans="2:2">
      <c r="B911" s="150" t="str">
        <f>_xlfn.IFNA(VLOOKUP(D911,标准编码!A:B,2,0),"")</f>
        <v/>
      </c>
    </row>
    <row r="912" spans="2:2">
      <c r="B912" s="150" t="str">
        <f>_xlfn.IFNA(VLOOKUP(D912,标准编码!A:B,2,0),"")</f>
        <v/>
      </c>
    </row>
    <row r="913" spans="2:2">
      <c r="B913" s="150" t="str">
        <f>_xlfn.IFNA(VLOOKUP(D913,标准编码!A:B,2,0),"")</f>
        <v/>
      </c>
    </row>
    <row r="914" spans="2:2">
      <c r="B914" s="150" t="str">
        <f>_xlfn.IFNA(VLOOKUP(D914,标准编码!A:B,2,0),"")</f>
        <v/>
      </c>
    </row>
    <row r="915" spans="2:2">
      <c r="B915" s="150" t="str">
        <f>_xlfn.IFNA(VLOOKUP(D915,标准编码!A:B,2,0),"")</f>
        <v/>
      </c>
    </row>
    <row r="916" spans="2:2">
      <c r="B916" s="150" t="str">
        <f>_xlfn.IFNA(VLOOKUP(D916,标准编码!A:B,2,0),"")</f>
        <v/>
      </c>
    </row>
    <row r="917" spans="2:2">
      <c r="B917" s="150" t="str">
        <f>_xlfn.IFNA(VLOOKUP(D917,标准编码!A:B,2,0),"")</f>
        <v/>
      </c>
    </row>
    <row r="918" spans="2:2">
      <c r="B918" s="150" t="str">
        <f>_xlfn.IFNA(VLOOKUP(D918,标准编码!A:B,2,0),"")</f>
        <v/>
      </c>
    </row>
    <row r="919" spans="2:2">
      <c r="B919" s="150" t="str">
        <f>_xlfn.IFNA(VLOOKUP(D919,标准编码!A:B,2,0),"")</f>
        <v/>
      </c>
    </row>
    <row r="920" spans="2:2">
      <c r="B920" s="150" t="str">
        <f>_xlfn.IFNA(VLOOKUP(D920,标准编码!A:B,2,0),"")</f>
        <v/>
      </c>
    </row>
    <row r="921" spans="2:2">
      <c r="B921" s="150" t="str">
        <f>_xlfn.IFNA(VLOOKUP(D921,标准编码!A:B,2,0),"")</f>
        <v/>
      </c>
    </row>
    <row r="922" spans="2:2">
      <c r="B922" s="150" t="str">
        <f>_xlfn.IFNA(VLOOKUP(D922,标准编码!A:B,2,0),"")</f>
        <v/>
      </c>
    </row>
    <row r="923" spans="2:2">
      <c r="B923" s="150" t="str">
        <f>_xlfn.IFNA(VLOOKUP(D923,标准编码!A:B,2,0),"")</f>
        <v/>
      </c>
    </row>
    <row r="924" spans="2:2">
      <c r="B924" s="150" t="str">
        <f>_xlfn.IFNA(VLOOKUP(D924,标准编码!A:B,2,0),"")</f>
        <v/>
      </c>
    </row>
    <row r="925" spans="2:2">
      <c r="B925" s="150" t="str">
        <f>_xlfn.IFNA(VLOOKUP(D925,标准编码!A:B,2,0),"")</f>
        <v/>
      </c>
    </row>
    <row r="926" spans="2:2">
      <c r="B926" s="150" t="str">
        <f>_xlfn.IFNA(VLOOKUP(D926,标准编码!A:B,2,0),"")</f>
        <v/>
      </c>
    </row>
    <row r="927" spans="2:2">
      <c r="B927" s="150" t="str">
        <f>_xlfn.IFNA(VLOOKUP(D927,标准编码!A:B,2,0),"")</f>
        <v/>
      </c>
    </row>
    <row r="928" spans="2:2">
      <c r="B928" s="150" t="str">
        <f>_xlfn.IFNA(VLOOKUP(D928,标准编码!A:B,2,0),"")</f>
        <v/>
      </c>
    </row>
    <row r="929" spans="2:2">
      <c r="B929" s="150" t="str">
        <f>_xlfn.IFNA(VLOOKUP(D929,标准编码!A:B,2,0),"")</f>
        <v/>
      </c>
    </row>
    <row r="930" spans="2:2">
      <c r="B930" s="150" t="str">
        <f>_xlfn.IFNA(VLOOKUP(D930,标准编码!A:B,2,0),"")</f>
        <v/>
      </c>
    </row>
    <row r="931" spans="2:2">
      <c r="B931" s="150" t="str">
        <f>_xlfn.IFNA(VLOOKUP(D931,标准编码!A:B,2,0),"")</f>
        <v/>
      </c>
    </row>
    <row r="932" spans="2:2">
      <c r="B932" s="150" t="str">
        <f>_xlfn.IFNA(VLOOKUP(D932,标准编码!A:B,2,0),"")</f>
        <v/>
      </c>
    </row>
    <row r="933" spans="2:2">
      <c r="B933" s="150" t="str">
        <f>_xlfn.IFNA(VLOOKUP(D933,标准编码!A:B,2,0),"")</f>
        <v/>
      </c>
    </row>
    <row r="934" spans="2:2">
      <c r="B934" s="150" t="str">
        <f>_xlfn.IFNA(VLOOKUP(D934,标准编码!A:B,2,0),"")</f>
        <v/>
      </c>
    </row>
    <row r="935" spans="2:2">
      <c r="B935" s="150" t="str">
        <f>_xlfn.IFNA(VLOOKUP(D935,标准编码!A:B,2,0),"")</f>
        <v/>
      </c>
    </row>
    <row r="936" spans="2:2">
      <c r="B936" s="150" t="str">
        <f>_xlfn.IFNA(VLOOKUP(D936,标准编码!A:B,2,0),"")</f>
        <v/>
      </c>
    </row>
    <row r="937" spans="2:2">
      <c r="B937" s="150" t="str">
        <f>_xlfn.IFNA(VLOOKUP(D937,标准编码!A:B,2,0),"")</f>
        <v/>
      </c>
    </row>
    <row r="938" spans="2:2">
      <c r="B938" s="150" t="str">
        <f>_xlfn.IFNA(VLOOKUP(D938,标准编码!A:B,2,0),"")</f>
        <v/>
      </c>
    </row>
    <row r="939" spans="2:2">
      <c r="B939" s="150" t="str">
        <f>_xlfn.IFNA(VLOOKUP(D939,标准编码!A:B,2,0),"")</f>
        <v/>
      </c>
    </row>
    <row r="940" spans="2:2">
      <c r="B940" s="150" t="str">
        <f>_xlfn.IFNA(VLOOKUP(D940,标准编码!A:B,2,0),"")</f>
        <v/>
      </c>
    </row>
    <row r="941" spans="2:2">
      <c r="B941" s="150" t="str">
        <f>_xlfn.IFNA(VLOOKUP(D941,标准编码!A:B,2,0),"")</f>
        <v/>
      </c>
    </row>
    <row r="942" spans="2:2">
      <c r="B942" s="150" t="str">
        <f>_xlfn.IFNA(VLOOKUP(D942,标准编码!A:B,2,0),"")</f>
        <v/>
      </c>
    </row>
    <row r="943" spans="2:2">
      <c r="B943" s="150" t="str">
        <f>_xlfn.IFNA(VLOOKUP(D943,标准编码!A:B,2,0),"")</f>
        <v/>
      </c>
    </row>
    <row r="944" spans="2:2">
      <c r="B944" s="150" t="str">
        <f>_xlfn.IFNA(VLOOKUP(D944,标准编码!A:B,2,0),"")</f>
        <v/>
      </c>
    </row>
    <row r="945" spans="2:2">
      <c r="B945" s="150" t="str">
        <f>_xlfn.IFNA(VLOOKUP(D945,标准编码!A:B,2,0),"")</f>
        <v/>
      </c>
    </row>
    <row r="946" spans="2:2">
      <c r="B946" s="150" t="str">
        <f>_xlfn.IFNA(VLOOKUP(D946,标准编码!A:B,2,0),"")</f>
        <v/>
      </c>
    </row>
    <row r="947" spans="2:2">
      <c r="B947" s="150" t="str">
        <f>_xlfn.IFNA(VLOOKUP(D947,标准编码!A:B,2,0),"")</f>
        <v/>
      </c>
    </row>
    <row r="948" spans="2:2">
      <c r="B948" s="150" t="str">
        <f>_xlfn.IFNA(VLOOKUP(D948,标准编码!A:B,2,0),"")</f>
        <v/>
      </c>
    </row>
    <row r="949" spans="2:2">
      <c r="B949" s="150" t="str">
        <f>_xlfn.IFNA(VLOOKUP(D949,标准编码!A:B,2,0),"")</f>
        <v/>
      </c>
    </row>
    <row r="950" spans="2:2">
      <c r="B950" s="150" t="str">
        <f>_xlfn.IFNA(VLOOKUP(D950,标准编码!A:B,2,0),"")</f>
        <v/>
      </c>
    </row>
    <row r="951" spans="2:2">
      <c r="B951" s="150" t="str">
        <f>_xlfn.IFNA(VLOOKUP(D951,标准编码!A:B,2,0),"")</f>
        <v/>
      </c>
    </row>
    <row r="952" spans="2:2">
      <c r="B952" s="150" t="str">
        <f>_xlfn.IFNA(VLOOKUP(D952,标准编码!A:B,2,0),"")</f>
        <v/>
      </c>
    </row>
    <row r="953" spans="2:2">
      <c r="B953" s="150" t="str">
        <f>_xlfn.IFNA(VLOOKUP(D953,标准编码!A:B,2,0),"")</f>
        <v/>
      </c>
    </row>
    <row r="954" spans="2:2">
      <c r="B954" s="150" t="str">
        <f>_xlfn.IFNA(VLOOKUP(D954,标准编码!A:B,2,0),"")</f>
        <v/>
      </c>
    </row>
    <row r="955" spans="2:2">
      <c r="B955" s="150" t="str">
        <f>_xlfn.IFNA(VLOOKUP(D955,标准编码!A:B,2,0),"")</f>
        <v/>
      </c>
    </row>
    <row r="956" spans="2:2">
      <c r="B956" s="150" t="str">
        <f>_xlfn.IFNA(VLOOKUP(D956,标准编码!A:B,2,0),"")</f>
        <v/>
      </c>
    </row>
    <row r="957" spans="2:2">
      <c r="B957" s="150" t="str">
        <f>_xlfn.IFNA(VLOOKUP(D957,标准编码!A:B,2,0),"")</f>
        <v/>
      </c>
    </row>
    <row r="958" spans="2:2">
      <c r="B958" s="150" t="str">
        <f>_xlfn.IFNA(VLOOKUP(D958,标准编码!A:B,2,0),"")</f>
        <v/>
      </c>
    </row>
    <row r="959" spans="2:2">
      <c r="B959" s="150" t="str">
        <f>_xlfn.IFNA(VLOOKUP(D959,标准编码!A:B,2,0),"")</f>
        <v/>
      </c>
    </row>
    <row r="960" spans="2:2">
      <c r="B960" s="150" t="str">
        <f>_xlfn.IFNA(VLOOKUP(D960,标准编码!A:B,2,0),"")</f>
        <v/>
      </c>
    </row>
    <row r="961" spans="2:2">
      <c r="B961" s="150" t="str">
        <f>_xlfn.IFNA(VLOOKUP(D961,标准编码!A:B,2,0),"")</f>
        <v/>
      </c>
    </row>
    <row r="962" spans="2:2">
      <c r="B962" s="150" t="str">
        <f>_xlfn.IFNA(VLOOKUP(D962,标准编码!A:B,2,0),"")</f>
        <v/>
      </c>
    </row>
    <row r="963" spans="2:2">
      <c r="B963" s="150" t="str">
        <f>_xlfn.IFNA(VLOOKUP(D963,标准编码!A:B,2,0),"")</f>
        <v/>
      </c>
    </row>
    <row r="964" spans="2:2">
      <c r="B964" s="150" t="str">
        <f>_xlfn.IFNA(VLOOKUP(D964,标准编码!A:B,2,0),"")</f>
        <v/>
      </c>
    </row>
    <row r="965" spans="2:2">
      <c r="B965" s="150" t="str">
        <f>_xlfn.IFNA(VLOOKUP(D965,标准编码!A:B,2,0),"")</f>
        <v/>
      </c>
    </row>
    <row r="966" spans="2:2">
      <c r="B966" s="150" t="str">
        <f>_xlfn.IFNA(VLOOKUP(D966,标准编码!A:B,2,0),"")</f>
        <v/>
      </c>
    </row>
    <row r="967" spans="2:2">
      <c r="B967" s="150" t="str">
        <f>_xlfn.IFNA(VLOOKUP(D967,标准编码!A:B,2,0),"")</f>
        <v/>
      </c>
    </row>
    <row r="968" spans="2:2">
      <c r="B968" s="150" t="str">
        <f>_xlfn.IFNA(VLOOKUP(D968,标准编码!A:B,2,0),"")</f>
        <v/>
      </c>
    </row>
    <row r="969" spans="2:2">
      <c r="B969" s="150" t="str">
        <f>_xlfn.IFNA(VLOOKUP(D969,标准编码!A:B,2,0),"")</f>
        <v/>
      </c>
    </row>
    <row r="970" spans="2:2">
      <c r="B970" s="150" t="str">
        <f>_xlfn.IFNA(VLOOKUP(D970,标准编码!A:B,2,0),"")</f>
        <v/>
      </c>
    </row>
    <row r="971" spans="2:2">
      <c r="B971" s="150" t="str">
        <f>_xlfn.IFNA(VLOOKUP(D971,标准编码!A:B,2,0),"")</f>
        <v/>
      </c>
    </row>
    <row r="972" spans="2:2">
      <c r="B972" s="150" t="str">
        <f>_xlfn.IFNA(VLOOKUP(D972,标准编码!A:B,2,0),"")</f>
        <v/>
      </c>
    </row>
    <row r="973" spans="2:2">
      <c r="B973" s="150" t="str">
        <f>_xlfn.IFNA(VLOOKUP(D973,标准编码!A:B,2,0),"")</f>
        <v/>
      </c>
    </row>
    <row r="974" spans="2:2">
      <c r="B974" s="150" t="str">
        <f>_xlfn.IFNA(VLOOKUP(D974,标准编码!A:B,2,0),"")</f>
        <v/>
      </c>
    </row>
    <row r="975" spans="2:2">
      <c r="B975" s="150" t="str">
        <f>_xlfn.IFNA(VLOOKUP(D975,标准编码!A:B,2,0),"")</f>
        <v/>
      </c>
    </row>
    <row r="976" spans="2:2">
      <c r="B976" s="150" t="str">
        <f>_xlfn.IFNA(VLOOKUP(D976,标准编码!A:B,2,0),"")</f>
        <v/>
      </c>
    </row>
    <row r="977" spans="2:2">
      <c r="B977" s="150" t="str">
        <f>_xlfn.IFNA(VLOOKUP(D977,标准编码!A:B,2,0),"")</f>
        <v/>
      </c>
    </row>
    <row r="978" spans="2:2">
      <c r="B978" s="150" t="str">
        <f>_xlfn.IFNA(VLOOKUP(D978,标准编码!A:B,2,0),"")</f>
        <v/>
      </c>
    </row>
    <row r="979" spans="2:2">
      <c r="B979" s="150" t="str">
        <f>_xlfn.IFNA(VLOOKUP(D979,标准编码!A:B,2,0),"")</f>
        <v/>
      </c>
    </row>
    <row r="980" spans="2:2">
      <c r="B980" s="150" t="str">
        <f>_xlfn.IFNA(VLOOKUP(D980,标准编码!A:B,2,0),"")</f>
        <v/>
      </c>
    </row>
    <row r="981" spans="2:2">
      <c r="B981" s="150" t="str">
        <f>_xlfn.IFNA(VLOOKUP(D981,标准编码!A:B,2,0),"")</f>
        <v/>
      </c>
    </row>
    <row r="982" spans="2:2">
      <c r="B982" s="150" t="str">
        <f>_xlfn.IFNA(VLOOKUP(D982,标准编码!A:B,2,0),"")</f>
        <v/>
      </c>
    </row>
    <row r="983" spans="2:2">
      <c r="B983" s="150" t="str">
        <f>_xlfn.IFNA(VLOOKUP(D983,标准编码!A:B,2,0),"")</f>
        <v/>
      </c>
    </row>
    <row r="984" spans="2:2">
      <c r="B984" s="150" t="str">
        <f>_xlfn.IFNA(VLOOKUP(D984,标准编码!A:B,2,0),"")</f>
        <v/>
      </c>
    </row>
    <row r="985" spans="2:2">
      <c r="B985" s="150" t="str">
        <f>_xlfn.IFNA(VLOOKUP(D985,标准编码!A:B,2,0),"")</f>
        <v/>
      </c>
    </row>
    <row r="986" spans="2:2">
      <c r="B986" s="150" t="str">
        <f>_xlfn.IFNA(VLOOKUP(D986,标准编码!A:B,2,0),"")</f>
        <v/>
      </c>
    </row>
    <row r="987" spans="2:2">
      <c r="B987" s="150" t="str">
        <f>_xlfn.IFNA(VLOOKUP(D987,标准编码!A:B,2,0),"")</f>
        <v/>
      </c>
    </row>
    <row r="988" spans="2:2">
      <c r="B988" s="150" t="str">
        <f>_xlfn.IFNA(VLOOKUP(D988,标准编码!A:B,2,0),"")</f>
        <v/>
      </c>
    </row>
    <row r="989" spans="2:2">
      <c r="B989" s="150" t="str">
        <f>_xlfn.IFNA(VLOOKUP(D989,标准编码!A:B,2,0),"")</f>
        <v/>
      </c>
    </row>
    <row r="990" spans="2:2">
      <c r="B990" s="150" t="str">
        <f>_xlfn.IFNA(VLOOKUP(D990,标准编码!A:B,2,0),"")</f>
        <v/>
      </c>
    </row>
    <row r="991" spans="2:2">
      <c r="B991" s="150" t="str">
        <f>_xlfn.IFNA(VLOOKUP(D991,标准编码!A:B,2,0),"")</f>
        <v/>
      </c>
    </row>
    <row r="992" spans="2:2">
      <c r="B992" s="150" t="str">
        <f>_xlfn.IFNA(VLOOKUP(D992,标准编码!A:B,2,0),"")</f>
        <v/>
      </c>
    </row>
    <row r="993" spans="2:2">
      <c r="B993" s="150" t="str">
        <f>_xlfn.IFNA(VLOOKUP(D993,标准编码!A:B,2,0),"")</f>
        <v/>
      </c>
    </row>
    <row r="994" spans="2:2">
      <c r="B994" s="150" t="str">
        <f>_xlfn.IFNA(VLOOKUP(D994,标准编码!A:B,2,0),"")</f>
        <v/>
      </c>
    </row>
    <row r="995" spans="2:2">
      <c r="B995" s="150" t="str">
        <f>_xlfn.IFNA(VLOOKUP(D995,标准编码!A:B,2,0),"")</f>
        <v/>
      </c>
    </row>
    <row r="996" spans="2:2">
      <c r="B996" s="150" t="str">
        <f>_xlfn.IFNA(VLOOKUP(D996,标准编码!A:B,2,0),"")</f>
        <v/>
      </c>
    </row>
    <row r="997" spans="2:2">
      <c r="B997" s="150" t="str">
        <f>_xlfn.IFNA(VLOOKUP(D997,标准编码!A:B,2,0),"")</f>
        <v/>
      </c>
    </row>
    <row r="998" spans="2:2">
      <c r="B998" s="150" t="str">
        <f>_xlfn.IFNA(VLOOKUP(D998,标准编码!A:B,2,0),"")</f>
        <v/>
      </c>
    </row>
    <row r="999" spans="2:2">
      <c r="B999" s="150" t="str">
        <f>_xlfn.IFNA(VLOOKUP(D999,标准编码!A:B,2,0),"")</f>
        <v/>
      </c>
    </row>
    <row r="1000" spans="2:2">
      <c r="B1000" s="150" t="str">
        <f>_xlfn.IFNA(VLOOKUP(D1000,标准编码!A:B,2,0),"")</f>
        <v/>
      </c>
    </row>
    <row r="1001" spans="2:2">
      <c r="B1001" s="150" t="str">
        <f>_xlfn.IFNA(VLOOKUP(D1001,标准编码!A:B,2,0),"")</f>
        <v/>
      </c>
    </row>
    <row r="1002" spans="2:2">
      <c r="B1002" s="150" t="str">
        <f>_xlfn.IFNA(VLOOKUP(D1002,标准编码!A:B,2,0),"")</f>
        <v/>
      </c>
    </row>
    <row r="1003" spans="2:2">
      <c r="B1003" s="150" t="str">
        <f>_xlfn.IFNA(VLOOKUP(D1003,标准编码!A:B,2,0),"")</f>
        <v/>
      </c>
    </row>
    <row r="1004" spans="2:2">
      <c r="B1004" s="150" t="str">
        <f>_xlfn.IFNA(VLOOKUP(D1004,标准编码!A:B,2,0),"")</f>
        <v/>
      </c>
    </row>
    <row r="1005" spans="2:2">
      <c r="B1005" s="150" t="str">
        <f>_xlfn.IFNA(VLOOKUP(D1005,标准编码!A:B,2,0),"")</f>
        <v/>
      </c>
    </row>
    <row r="1006" spans="2:2">
      <c r="B1006" s="150" t="str">
        <f>_xlfn.IFNA(VLOOKUP(D1006,标准编码!A:B,2,0),"")</f>
        <v/>
      </c>
    </row>
    <row r="1007" spans="2:2">
      <c r="B1007" s="150" t="str">
        <f>_xlfn.IFNA(VLOOKUP(D1007,标准编码!A:B,2,0),"")</f>
        <v/>
      </c>
    </row>
    <row r="1008" spans="2:2">
      <c r="B1008" s="150" t="str">
        <f>_xlfn.IFNA(VLOOKUP(D1008,标准编码!A:B,2,0),"")</f>
        <v/>
      </c>
    </row>
    <row r="1009" spans="2:2">
      <c r="B1009" s="150" t="str">
        <f>_xlfn.IFNA(VLOOKUP(D1009,标准编码!A:B,2,0),"")</f>
        <v/>
      </c>
    </row>
    <row r="1010" spans="2:2">
      <c r="B1010" s="150" t="str">
        <f>_xlfn.IFNA(VLOOKUP(D1010,标准编码!A:B,2,0),"")</f>
        <v/>
      </c>
    </row>
    <row r="1011" spans="2:2">
      <c r="B1011" s="150" t="str">
        <f>_xlfn.IFNA(VLOOKUP(D1011,标准编码!A:B,2,0),"")</f>
        <v/>
      </c>
    </row>
    <row r="1012" spans="2:2">
      <c r="B1012" s="150" t="str">
        <f>_xlfn.IFNA(VLOOKUP(D1012,标准编码!A:B,2,0),"")</f>
        <v/>
      </c>
    </row>
    <row r="1013" spans="2:2">
      <c r="B1013" s="150" t="str">
        <f>_xlfn.IFNA(VLOOKUP(D1013,标准编码!A:B,2,0),"")</f>
        <v/>
      </c>
    </row>
    <row r="1014" spans="2:2">
      <c r="B1014" s="150" t="str">
        <f>_xlfn.IFNA(VLOOKUP(D1014,标准编码!A:B,2,0),"")</f>
        <v/>
      </c>
    </row>
    <row r="1015" spans="2:2">
      <c r="B1015" s="150" t="str">
        <f>_xlfn.IFNA(VLOOKUP(D1015,标准编码!A:B,2,0),"")</f>
        <v/>
      </c>
    </row>
    <row r="1016" spans="2:2">
      <c r="B1016" s="150" t="str">
        <f>_xlfn.IFNA(VLOOKUP(D1016,标准编码!A:B,2,0),"")</f>
        <v/>
      </c>
    </row>
    <row r="1017" spans="2:2">
      <c r="B1017" s="150" t="str">
        <f>_xlfn.IFNA(VLOOKUP(D1017,标准编码!A:B,2,0),"")</f>
        <v/>
      </c>
    </row>
    <row r="1018" spans="2:2">
      <c r="B1018" s="150" t="str">
        <f>_xlfn.IFNA(VLOOKUP(D1018,标准编码!A:B,2,0),"")</f>
        <v/>
      </c>
    </row>
    <row r="1019" spans="2:2">
      <c r="B1019" s="150" t="str">
        <f>_xlfn.IFNA(VLOOKUP(D1019,标准编码!A:B,2,0),"")</f>
        <v/>
      </c>
    </row>
    <row r="1020" spans="2:2">
      <c r="B1020" s="150" t="str">
        <f>_xlfn.IFNA(VLOOKUP(D1020,标准编码!A:B,2,0),"")</f>
        <v/>
      </c>
    </row>
    <row r="1021" spans="2:2">
      <c r="B1021" s="150" t="str">
        <f>_xlfn.IFNA(VLOOKUP(D1021,标准编码!A:B,2,0),"")</f>
        <v/>
      </c>
    </row>
    <row r="1022" spans="2:2">
      <c r="B1022" s="150" t="str">
        <f>_xlfn.IFNA(VLOOKUP(D1022,标准编码!A:B,2,0),"")</f>
        <v/>
      </c>
    </row>
    <row r="1023" spans="2:2">
      <c r="B1023" s="150" t="str">
        <f>_xlfn.IFNA(VLOOKUP(D1023,标准编码!A:B,2,0),"")</f>
        <v/>
      </c>
    </row>
    <row r="1024" spans="2:2">
      <c r="B1024" s="150" t="str">
        <f>_xlfn.IFNA(VLOOKUP(D1024,标准编码!A:B,2,0),"")</f>
        <v/>
      </c>
    </row>
    <row r="1025" spans="2:2">
      <c r="B1025" s="150" t="str">
        <f>_xlfn.IFNA(VLOOKUP(D1025,标准编码!A:B,2,0),"")</f>
        <v/>
      </c>
    </row>
    <row r="1026" spans="2:2">
      <c r="B1026" s="150" t="str">
        <f>_xlfn.IFNA(VLOOKUP(D1026,标准编码!A:B,2,0),"")</f>
        <v/>
      </c>
    </row>
    <row r="1027" spans="2:2">
      <c r="B1027" s="150" t="str">
        <f>_xlfn.IFNA(VLOOKUP(D1027,标准编码!A:B,2,0),"")</f>
        <v/>
      </c>
    </row>
    <row r="1028" spans="2:2">
      <c r="B1028" s="150" t="str">
        <f>_xlfn.IFNA(VLOOKUP(D1028,标准编码!A:B,2,0),"")</f>
        <v/>
      </c>
    </row>
    <row r="1029" spans="2:2">
      <c r="B1029" s="150" t="str">
        <f>_xlfn.IFNA(VLOOKUP(D1029,标准编码!A:B,2,0),"")</f>
        <v/>
      </c>
    </row>
    <row r="1030" spans="2:2">
      <c r="B1030" s="150" t="str">
        <f>_xlfn.IFNA(VLOOKUP(D1030,标准编码!A:B,2,0),"")</f>
        <v/>
      </c>
    </row>
    <row r="1031" spans="2:2">
      <c r="B1031" s="150" t="str">
        <f>_xlfn.IFNA(VLOOKUP(D1031,标准编码!A:B,2,0),"")</f>
        <v/>
      </c>
    </row>
    <row r="1032" spans="2:2">
      <c r="B1032" s="150" t="str">
        <f>_xlfn.IFNA(VLOOKUP(D1032,标准编码!A:B,2,0),"")</f>
        <v/>
      </c>
    </row>
    <row r="1033" spans="2:2">
      <c r="B1033" s="150" t="str">
        <f>_xlfn.IFNA(VLOOKUP(D1033,标准编码!A:B,2,0),"")</f>
        <v/>
      </c>
    </row>
    <row r="1034" spans="2:2">
      <c r="B1034" s="150" t="str">
        <f>_xlfn.IFNA(VLOOKUP(D1034,标准编码!A:B,2,0),"")</f>
        <v/>
      </c>
    </row>
    <row r="1035" spans="2:2">
      <c r="B1035" s="150" t="str">
        <f>_xlfn.IFNA(VLOOKUP(D1035,标准编码!A:B,2,0),"")</f>
        <v/>
      </c>
    </row>
    <row r="1036" spans="2:2">
      <c r="B1036" s="150" t="str">
        <f>_xlfn.IFNA(VLOOKUP(D1036,标准编码!A:B,2,0),"")</f>
        <v/>
      </c>
    </row>
    <row r="1037" spans="2:2">
      <c r="B1037" s="150" t="str">
        <f>_xlfn.IFNA(VLOOKUP(D1037,标准编码!A:B,2,0),"")</f>
        <v/>
      </c>
    </row>
    <row r="1038" spans="2:2">
      <c r="B1038" s="150" t="str">
        <f>_xlfn.IFNA(VLOOKUP(D1038,标准编码!A:B,2,0),"")</f>
        <v/>
      </c>
    </row>
    <row r="1039" spans="2:2">
      <c r="B1039" s="150" t="str">
        <f>_xlfn.IFNA(VLOOKUP(D1039,标准编码!A:B,2,0),"")</f>
        <v/>
      </c>
    </row>
    <row r="1040" spans="2:2">
      <c r="B1040" s="150" t="str">
        <f>_xlfn.IFNA(VLOOKUP(D1040,标准编码!A:B,2,0),"")</f>
        <v/>
      </c>
    </row>
    <row r="1041" spans="2:2">
      <c r="B1041" s="150" t="str">
        <f>_xlfn.IFNA(VLOOKUP(D1041,标准编码!A:B,2,0),"")</f>
        <v/>
      </c>
    </row>
    <row r="1042" spans="2:2">
      <c r="B1042" s="150" t="str">
        <f>_xlfn.IFNA(VLOOKUP(D1042,标准编码!A:B,2,0),"")</f>
        <v/>
      </c>
    </row>
    <row r="1043" spans="2:2">
      <c r="B1043" s="150" t="str">
        <f>_xlfn.IFNA(VLOOKUP(D1043,标准编码!A:B,2,0),"")</f>
        <v/>
      </c>
    </row>
    <row r="1044" spans="2:2">
      <c r="B1044" s="150" t="str">
        <f>_xlfn.IFNA(VLOOKUP(D1044,标准编码!A:B,2,0),"")</f>
        <v/>
      </c>
    </row>
    <row r="1045" spans="2:2">
      <c r="B1045" s="150" t="str">
        <f>_xlfn.IFNA(VLOOKUP(D1045,标准编码!A:B,2,0),"")</f>
        <v/>
      </c>
    </row>
    <row r="1046" spans="2:2">
      <c r="B1046" s="150" t="str">
        <f>_xlfn.IFNA(VLOOKUP(D1046,标准编码!A:B,2,0),"")</f>
        <v/>
      </c>
    </row>
    <row r="1047" spans="2:2">
      <c r="B1047" s="150" t="str">
        <f>_xlfn.IFNA(VLOOKUP(D1047,标准编码!A:B,2,0),"")</f>
        <v/>
      </c>
    </row>
    <row r="1048" spans="2:2">
      <c r="B1048" s="150" t="str">
        <f>_xlfn.IFNA(VLOOKUP(D1048,标准编码!A:B,2,0),"")</f>
        <v/>
      </c>
    </row>
    <row r="1049" spans="2:2">
      <c r="B1049" s="150" t="str">
        <f>_xlfn.IFNA(VLOOKUP(D1049,标准编码!A:B,2,0),"")</f>
        <v/>
      </c>
    </row>
    <row r="1050" spans="2:2">
      <c r="B1050" s="150" t="str">
        <f>_xlfn.IFNA(VLOOKUP(D1050,标准编码!A:B,2,0),"")</f>
        <v/>
      </c>
    </row>
    <row r="1051" spans="2:2">
      <c r="B1051" s="150" t="str">
        <f>_xlfn.IFNA(VLOOKUP(D1051,标准编码!A:B,2,0),"")</f>
        <v/>
      </c>
    </row>
    <row r="1052" spans="2:2">
      <c r="B1052" s="150" t="str">
        <f>_xlfn.IFNA(VLOOKUP(D1052,标准编码!A:B,2,0),"")</f>
        <v/>
      </c>
    </row>
    <row r="1053" spans="2:2">
      <c r="B1053" s="150" t="str">
        <f>_xlfn.IFNA(VLOOKUP(D1053,标准编码!A:B,2,0),"")</f>
        <v/>
      </c>
    </row>
    <row r="1054" spans="2:2">
      <c r="B1054" s="150" t="str">
        <f>_xlfn.IFNA(VLOOKUP(D1054,标准编码!A:B,2,0),"")</f>
        <v/>
      </c>
    </row>
    <row r="1055" spans="2:2">
      <c r="B1055" s="150" t="str">
        <f>_xlfn.IFNA(VLOOKUP(D1055,标准编码!A:B,2,0),"")</f>
        <v/>
      </c>
    </row>
    <row r="1056" spans="2:2">
      <c r="B1056" s="150" t="str">
        <f>_xlfn.IFNA(VLOOKUP(D1056,标准编码!A:B,2,0),"")</f>
        <v/>
      </c>
    </row>
    <row r="1057" spans="2:2">
      <c r="B1057" s="150" t="str">
        <f>_xlfn.IFNA(VLOOKUP(D1057,标准编码!A:B,2,0),"")</f>
        <v/>
      </c>
    </row>
    <row r="1058" spans="2:2">
      <c r="B1058" s="150" t="str">
        <f>_xlfn.IFNA(VLOOKUP(D1058,标准编码!A:B,2,0),"")</f>
        <v/>
      </c>
    </row>
    <row r="1059" spans="2:2">
      <c r="B1059" s="150" t="str">
        <f>_xlfn.IFNA(VLOOKUP(D1059,标准编码!A:B,2,0),"")</f>
        <v/>
      </c>
    </row>
    <row r="1060" spans="2:2">
      <c r="B1060" s="150" t="str">
        <f>_xlfn.IFNA(VLOOKUP(D1060,标准编码!A:B,2,0),"")</f>
        <v/>
      </c>
    </row>
    <row r="1061" spans="2:2">
      <c r="B1061" s="150" t="str">
        <f>_xlfn.IFNA(VLOOKUP(D1061,标准编码!A:B,2,0),"")</f>
        <v/>
      </c>
    </row>
    <row r="1062" spans="2:2">
      <c r="B1062" s="150" t="str">
        <f>_xlfn.IFNA(VLOOKUP(D1062,标准编码!A:B,2,0),"")</f>
        <v/>
      </c>
    </row>
    <row r="1063" spans="2:2">
      <c r="B1063" s="150" t="str">
        <f>_xlfn.IFNA(VLOOKUP(D1063,标准编码!A:B,2,0),"")</f>
        <v/>
      </c>
    </row>
    <row r="1064" spans="2:2">
      <c r="B1064" s="150" t="str">
        <f>_xlfn.IFNA(VLOOKUP(D1064,标准编码!A:B,2,0),"")</f>
        <v/>
      </c>
    </row>
    <row r="1065" spans="2:2">
      <c r="B1065" s="150" t="str">
        <f>_xlfn.IFNA(VLOOKUP(D1065,标准编码!A:B,2,0),"")</f>
        <v/>
      </c>
    </row>
    <row r="1066" spans="2:2">
      <c r="B1066" s="150" t="str">
        <f>_xlfn.IFNA(VLOOKUP(D1066,标准编码!A:B,2,0),"")</f>
        <v/>
      </c>
    </row>
    <row r="1067" spans="2:2">
      <c r="B1067" s="150" t="str">
        <f>_xlfn.IFNA(VLOOKUP(D1067,标准编码!A:B,2,0),"")</f>
        <v/>
      </c>
    </row>
    <row r="1068" spans="2:2">
      <c r="B1068" s="150" t="str">
        <f>_xlfn.IFNA(VLOOKUP(D1068,标准编码!A:B,2,0),"")</f>
        <v/>
      </c>
    </row>
    <row r="1069" spans="2:2">
      <c r="B1069" s="150" t="str">
        <f>_xlfn.IFNA(VLOOKUP(D1069,标准编码!A:B,2,0),"")</f>
        <v/>
      </c>
    </row>
    <row r="1070" spans="2:2">
      <c r="B1070" s="150" t="str">
        <f>_xlfn.IFNA(VLOOKUP(D1070,标准编码!A:B,2,0),"")</f>
        <v/>
      </c>
    </row>
    <row r="1071" spans="2:2">
      <c r="B1071" s="150" t="str">
        <f>_xlfn.IFNA(VLOOKUP(D1071,标准编码!A:B,2,0),"")</f>
        <v/>
      </c>
    </row>
    <row r="1072" spans="2:2">
      <c r="B1072" s="150" t="str">
        <f>_xlfn.IFNA(VLOOKUP(D1072,标准编码!A:B,2,0),"")</f>
        <v/>
      </c>
    </row>
    <row r="1073" spans="2:2">
      <c r="B1073" s="150" t="str">
        <f>_xlfn.IFNA(VLOOKUP(D1073,标准编码!A:B,2,0),"")</f>
        <v/>
      </c>
    </row>
    <row r="1074" spans="2:2">
      <c r="B1074" s="150" t="str">
        <f>_xlfn.IFNA(VLOOKUP(D1074,标准编码!A:B,2,0),"")</f>
        <v/>
      </c>
    </row>
    <row r="1075" spans="2:2">
      <c r="B1075" s="150" t="str">
        <f>_xlfn.IFNA(VLOOKUP(D1075,标准编码!A:B,2,0),"")</f>
        <v/>
      </c>
    </row>
    <row r="1076" spans="2:2">
      <c r="B1076" s="150" t="str">
        <f>_xlfn.IFNA(VLOOKUP(D1076,标准编码!A:B,2,0),"")</f>
        <v/>
      </c>
    </row>
    <row r="1077" spans="2:2">
      <c r="B1077" s="150" t="str">
        <f>_xlfn.IFNA(VLOOKUP(D1077,标准编码!A:B,2,0),"")</f>
        <v/>
      </c>
    </row>
    <row r="1078" spans="2:2">
      <c r="B1078" s="150" t="str">
        <f>_xlfn.IFNA(VLOOKUP(D1078,标准编码!A:B,2,0),"")</f>
        <v/>
      </c>
    </row>
    <row r="1079" spans="2:2">
      <c r="B1079" s="150" t="str">
        <f>_xlfn.IFNA(VLOOKUP(D1079,标准编码!A:B,2,0),"")</f>
        <v/>
      </c>
    </row>
    <row r="1080" spans="2:2">
      <c r="B1080" s="150" t="str">
        <f>_xlfn.IFNA(VLOOKUP(D1080,标准编码!A:B,2,0),"")</f>
        <v/>
      </c>
    </row>
    <row r="1081" spans="2:2">
      <c r="B1081" s="150" t="str">
        <f>_xlfn.IFNA(VLOOKUP(D1081,标准编码!A:B,2,0),"")</f>
        <v/>
      </c>
    </row>
    <row r="1082" spans="2:2">
      <c r="B1082" s="150" t="str">
        <f>_xlfn.IFNA(VLOOKUP(D1082,标准编码!A:B,2,0),"")</f>
        <v/>
      </c>
    </row>
    <row r="1083" spans="2:2">
      <c r="B1083" s="150" t="str">
        <f>_xlfn.IFNA(VLOOKUP(D1083,标准编码!A:B,2,0),"")</f>
        <v/>
      </c>
    </row>
    <row r="1084" spans="2:2">
      <c r="B1084" s="150" t="str">
        <f>_xlfn.IFNA(VLOOKUP(D1084,标准编码!A:B,2,0),"")</f>
        <v/>
      </c>
    </row>
    <row r="1085" spans="2:2">
      <c r="B1085" s="150" t="str">
        <f>_xlfn.IFNA(VLOOKUP(D1085,标准编码!A:B,2,0),"")</f>
        <v/>
      </c>
    </row>
    <row r="1086" spans="2:2">
      <c r="B1086" s="150" t="str">
        <f>_xlfn.IFNA(VLOOKUP(D1086,标准编码!A:B,2,0),"")</f>
        <v/>
      </c>
    </row>
    <row r="1087" spans="2:2">
      <c r="B1087" s="150" t="str">
        <f>_xlfn.IFNA(VLOOKUP(D1087,标准编码!A:B,2,0),"")</f>
        <v/>
      </c>
    </row>
    <row r="1088" spans="2:2">
      <c r="B1088" s="150" t="str">
        <f>_xlfn.IFNA(VLOOKUP(D1088,标准编码!A:B,2,0),"")</f>
        <v/>
      </c>
    </row>
    <row r="1089" spans="2:2">
      <c r="B1089" s="150" t="str">
        <f>_xlfn.IFNA(VLOOKUP(D1089,标准编码!A:B,2,0),"")</f>
        <v/>
      </c>
    </row>
    <row r="1090" spans="2:2">
      <c r="B1090" s="150" t="str">
        <f>_xlfn.IFNA(VLOOKUP(D1090,标准编码!A:B,2,0),"")</f>
        <v/>
      </c>
    </row>
    <row r="1091" spans="2:2">
      <c r="B1091" s="150" t="str">
        <f>_xlfn.IFNA(VLOOKUP(D1091,标准编码!A:B,2,0),"")</f>
        <v/>
      </c>
    </row>
    <row r="1092" spans="2:2">
      <c r="B1092" s="150" t="str">
        <f>_xlfn.IFNA(VLOOKUP(D1092,标准编码!A:B,2,0),"")</f>
        <v/>
      </c>
    </row>
    <row r="1093" spans="2:2">
      <c r="B1093" s="150" t="str">
        <f>_xlfn.IFNA(VLOOKUP(D1093,标准编码!A:B,2,0),"")</f>
        <v/>
      </c>
    </row>
    <row r="1094" spans="2:2">
      <c r="B1094" s="150" t="str">
        <f>_xlfn.IFNA(VLOOKUP(D1094,标准编码!A:B,2,0),"")</f>
        <v/>
      </c>
    </row>
    <row r="1095" spans="2:2">
      <c r="B1095" s="150" t="str">
        <f>_xlfn.IFNA(VLOOKUP(D1095,标准编码!A:B,2,0),"")</f>
        <v/>
      </c>
    </row>
    <row r="1096" spans="2:2">
      <c r="B1096" s="150" t="str">
        <f>_xlfn.IFNA(VLOOKUP(D1096,标准编码!A:B,2,0),"")</f>
        <v/>
      </c>
    </row>
    <row r="1097" spans="2:2">
      <c r="B1097" s="150" t="str">
        <f>_xlfn.IFNA(VLOOKUP(D1097,标准编码!A:B,2,0),"")</f>
        <v/>
      </c>
    </row>
    <row r="1098" spans="2:2">
      <c r="B1098" s="150" t="str">
        <f>_xlfn.IFNA(VLOOKUP(D1098,标准编码!A:B,2,0),"")</f>
        <v/>
      </c>
    </row>
    <row r="1099" spans="2:2">
      <c r="B1099" s="150" t="str">
        <f>_xlfn.IFNA(VLOOKUP(D1099,标准编码!A:B,2,0),"")</f>
        <v/>
      </c>
    </row>
    <row r="1100" spans="2:2">
      <c r="B1100" s="150" t="str">
        <f>_xlfn.IFNA(VLOOKUP(D1100,标准编码!A:B,2,0),"")</f>
        <v/>
      </c>
    </row>
    <row r="1101" spans="2:2">
      <c r="B1101" s="150" t="str">
        <f>_xlfn.IFNA(VLOOKUP(D1101,标准编码!A:B,2,0),"")</f>
        <v/>
      </c>
    </row>
    <row r="1102" spans="2:2">
      <c r="B1102" s="150" t="str">
        <f>_xlfn.IFNA(VLOOKUP(D1102,标准编码!A:B,2,0),"")</f>
        <v/>
      </c>
    </row>
    <row r="1103" spans="2:2">
      <c r="B1103" s="150" t="str">
        <f>_xlfn.IFNA(VLOOKUP(D1103,标准编码!A:B,2,0),"")</f>
        <v/>
      </c>
    </row>
    <row r="1104" spans="2:2">
      <c r="B1104" s="150" t="str">
        <f>_xlfn.IFNA(VLOOKUP(D1104,标准编码!A:B,2,0),"")</f>
        <v/>
      </c>
    </row>
    <row r="1105" spans="2:2">
      <c r="B1105" s="150" t="str">
        <f>_xlfn.IFNA(VLOOKUP(D1105,标准编码!A:B,2,0),"")</f>
        <v/>
      </c>
    </row>
    <row r="1106" spans="2:2">
      <c r="B1106" s="150" t="str">
        <f>_xlfn.IFNA(VLOOKUP(D1106,标准编码!A:B,2,0),"")</f>
        <v/>
      </c>
    </row>
    <row r="1107" spans="2:2">
      <c r="B1107" s="150" t="str">
        <f>_xlfn.IFNA(VLOOKUP(D1107,标准编码!A:B,2,0),"")</f>
        <v/>
      </c>
    </row>
    <row r="1108" spans="2:2">
      <c r="B1108" s="150" t="str">
        <f>_xlfn.IFNA(VLOOKUP(D1108,标准编码!A:B,2,0),"")</f>
        <v/>
      </c>
    </row>
    <row r="1109" spans="2:2">
      <c r="B1109" s="150" t="str">
        <f>_xlfn.IFNA(VLOOKUP(D1109,标准编码!A:B,2,0),"")</f>
        <v/>
      </c>
    </row>
    <row r="1110" spans="2:2">
      <c r="B1110" s="150" t="str">
        <f>_xlfn.IFNA(VLOOKUP(D1110,标准编码!A:B,2,0),"")</f>
        <v/>
      </c>
    </row>
    <row r="1111" spans="2:2">
      <c r="B1111" s="150" t="str">
        <f>_xlfn.IFNA(VLOOKUP(D1111,标准编码!A:B,2,0),"")</f>
        <v/>
      </c>
    </row>
    <row r="1112" spans="2:2">
      <c r="B1112" s="150" t="str">
        <f>_xlfn.IFNA(VLOOKUP(D1112,标准编码!A:B,2,0),"")</f>
        <v/>
      </c>
    </row>
    <row r="1113" spans="2:2">
      <c r="B1113" s="150" t="str">
        <f>_xlfn.IFNA(VLOOKUP(D1113,标准编码!A:B,2,0),"")</f>
        <v/>
      </c>
    </row>
    <row r="1114" spans="2:2">
      <c r="B1114" s="150" t="str">
        <f>_xlfn.IFNA(VLOOKUP(D1114,标准编码!A:B,2,0),"")</f>
        <v/>
      </c>
    </row>
    <row r="1115" spans="2:2">
      <c r="B1115" s="150" t="str">
        <f>_xlfn.IFNA(VLOOKUP(D1115,标准编码!A:B,2,0),"")</f>
        <v/>
      </c>
    </row>
    <row r="1116" spans="2:2">
      <c r="B1116" s="150" t="str">
        <f>_xlfn.IFNA(VLOOKUP(D1116,标准编码!A:B,2,0),"")</f>
        <v/>
      </c>
    </row>
    <row r="1117" spans="2:2">
      <c r="B1117" s="150" t="str">
        <f>_xlfn.IFNA(VLOOKUP(D1117,标准编码!A:B,2,0),"")</f>
        <v/>
      </c>
    </row>
    <row r="1118" spans="2:2">
      <c r="B1118" s="150" t="str">
        <f>_xlfn.IFNA(VLOOKUP(D1118,标准编码!A:B,2,0),"")</f>
        <v/>
      </c>
    </row>
    <row r="1119" spans="2:2">
      <c r="B1119" s="150" t="str">
        <f>_xlfn.IFNA(VLOOKUP(D1119,标准编码!A:B,2,0),"")</f>
        <v/>
      </c>
    </row>
    <row r="1120" spans="2:2">
      <c r="B1120" s="150" t="str">
        <f>_xlfn.IFNA(VLOOKUP(D1120,标准编码!A:B,2,0),"")</f>
        <v/>
      </c>
    </row>
    <row r="1121" spans="2:2">
      <c r="B1121" s="150" t="str">
        <f>_xlfn.IFNA(VLOOKUP(D1121,标准编码!A:B,2,0),"")</f>
        <v/>
      </c>
    </row>
    <row r="1122" spans="2:2">
      <c r="B1122" s="150" t="str">
        <f>_xlfn.IFNA(VLOOKUP(D1122,标准编码!A:B,2,0),"")</f>
        <v/>
      </c>
    </row>
    <row r="1123" spans="2:2">
      <c r="B1123" s="150" t="str">
        <f>_xlfn.IFNA(VLOOKUP(D1123,标准编码!A:B,2,0),"")</f>
        <v/>
      </c>
    </row>
    <row r="1124" spans="2:2">
      <c r="B1124" s="150" t="str">
        <f>_xlfn.IFNA(VLOOKUP(D1124,标准编码!A:B,2,0),"")</f>
        <v/>
      </c>
    </row>
    <row r="1125" spans="2:2">
      <c r="B1125" s="150" t="str">
        <f>_xlfn.IFNA(VLOOKUP(D1125,标准编码!A:B,2,0),"")</f>
        <v/>
      </c>
    </row>
    <row r="1126" spans="2:2">
      <c r="B1126" s="150" t="str">
        <f>_xlfn.IFNA(VLOOKUP(D1126,标准编码!A:B,2,0),"")</f>
        <v/>
      </c>
    </row>
    <row r="1127" spans="2:2">
      <c r="B1127" s="150" t="str">
        <f>_xlfn.IFNA(VLOOKUP(D1127,标准编码!A:B,2,0),"")</f>
        <v/>
      </c>
    </row>
    <row r="1128" spans="2:2">
      <c r="B1128" s="150" t="str">
        <f>_xlfn.IFNA(VLOOKUP(D1128,标准编码!A:B,2,0),"")</f>
        <v/>
      </c>
    </row>
    <row r="1129" spans="2:2">
      <c r="B1129" s="150" t="str">
        <f>_xlfn.IFNA(VLOOKUP(D1129,标准编码!A:B,2,0),"")</f>
        <v/>
      </c>
    </row>
    <row r="1130" spans="2:2">
      <c r="B1130" s="150" t="str">
        <f>_xlfn.IFNA(VLOOKUP(D1130,标准编码!A:B,2,0),"")</f>
        <v/>
      </c>
    </row>
    <row r="1131" spans="2:2">
      <c r="B1131" s="150" t="str">
        <f>_xlfn.IFNA(VLOOKUP(D1131,标准编码!A:B,2,0),"")</f>
        <v/>
      </c>
    </row>
    <row r="1132" spans="2:2">
      <c r="B1132" s="150" t="str">
        <f>_xlfn.IFNA(VLOOKUP(D1132,标准编码!A:B,2,0),"")</f>
        <v/>
      </c>
    </row>
    <row r="1133" spans="2:2">
      <c r="B1133" s="150" t="str">
        <f>_xlfn.IFNA(VLOOKUP(D1133,标准编码!A:B,2,0),"")</f>
        <v/>
      </c>
    </row>
    <row r="1134" spans="2:2">
      <c r="B1134" s="150" t="str">
        <f>_xlfn.IFNA(VLOOKUP(D1134,标准编码!A:B,2,0),"")</f>
        <v/>
      </c>
    </row>
    <row r="1135" spans="2:2">
      <c r="B1135" s="150" t="str">
        <f>_xlfn.IFNA(VLOOKUP(D1135,标准编码!A:B,2,0),"")</f>
        <v/>
      </c>
    </row>
    <row r="1136" spans="2:2">
      <c r="B1136" s="150" t="str">
        <f>_xlfn.IFNA(VLOOKUP(D1136,标准编码!A:B,2,0),"")</f>
        <v/>
      </c>
    </row>
    <row r="1137" spans="2:2">
      <c r="B1137" s="150" t="str">
        <f>_xlfn.IFNA(VLOOKUP(D1137,标准编码!A:B,2,0),"")</f>
        <v/>
      </c>
    </row>
    <row r="1138" spans="2:2">
      <c r="B1138" s="150" t="str">
        <f>_xlfn.IFNA(VLOOKUP(D1138,标准编码!A:B,2,0),"")</f>
        <v/>
      </c>
    </row>
    <row r="1139" spans="2:2">
      <c r="B1139" s="150" t="str">
        <f>_xlfn.IFNA(VLOOKUP(D1139,标准编码!A:B,2,0),"")</f>
        <v/>
      </c>
    </row>
    <row r="1140" spans="2:2">
      <c r="B1140" s="150" t="str">
        <f>_xlfn.IFNA(VLOOKUP(D1140,标准编码!A:B,2,0),"")</f>
        <v/>
      </c>
    </row>
    <row r="1141" spans="2:2">
      <c r="B1141" s="150" t="str">
        <f>_xlfn.IFNA(VLOOKUP(D1141,标准编码!A:B,2,0),"")</f>
        <v/>
      </c>
    </row>
    <row r="1142" spans="2:2">
      <c r="B1142" s="150" t="str">
        <f>_xlfn.IFNA(VLOOKUP(D1142,标准编码!A:B,2,0),"")</f>
        <v/>
      </c>
    </row>
    <row r="1143" spans="2:2">
      <c r="B1143" s="150" t="str">
        <f>_xlfn.IFNA(VLOOKUP(D1143,标准编码!A:B,2,0),"")</f>
        <v/>
      </c>
    </row>
    <row r="1144" spans="2:2">
      <c r="B1144" s="150" t="str">
        <f>_xlfn.IFNA(VLOOKUP(D1144,标准编码!A:B,2,0),"")</f>
        <v/>
      </c>
    </row>
    <row r="1145" spans="2:2">
      <c r="B1145" s="150" t="str">
        <f>_xlfn.IFNA(VLOOKUP(D1145,标准编码!A:B,2,0),"")</f>
        <v/>
      </c>
    </row>
    <row r="1146" spans="2:2">
      <c r="B1146" s="150" t="str">
        <f>_xlfn.IFNA(VLOOKUP(D1146,标准编码!A:B,2,0),"")</f>
        <v/>
      </c>
    </row>
    <row r="1147" spans="2:2">
      <c r="B1147" s="150" t="str">
        <f>_xlfn.IFNA(VLOOKUP(D1147,标准编码!A:B,2,0),"")</f>
        <v/>
      </c>
    </row>
    <row r="1148" spans="2:2">
      <c r="B1148" s="150" t="str">
        <f>_xlfn.IFNA(VLOOKUP(D1148,标准编码!A:B,2,0),"")</f>
        <v/>
      </c>
    </row>
    <row r="1149" spans="2:2">
      <c r="B1149" s="150" t="str">
        <f>_xlfn.IFNA(VLOOKUP(D1149,标准编码!A:B,2,0),"")</f>
        <v/>
      </c>
    </row>
    <row r="1150" spans="2:2">
      <c r="B1150" s="150" t="str">
        <f>_xlfn.IFNA(VLOOKUP(D1150,标准编码!A:B,2,0),"")</f>
        <v/>
      </c>
    </row>
    <row r="1151" spans="2:2">
      <c r="B1151" s="150" t="str">
        <f>_xlfn.IFNA(VLOOKUP(D1151,标准编码!A:B,2,0),"")</f>
        <v/>
      </c>
    </row>
    <row r="1152" spans="2:2">
      <c r="B1152" s="150" t="str">
        <f>_xlfn.IFNA(VLOOKUP(D1152,标准编码!A:B,2,0),"")</f>
        <v/>
      </c>
    </row>
    <row r="1153" spans="2:2">
      <c r="B1153" s="150" t="str">
        <f>_xlfn.IFNA(VLOOKUP(D1153,标准编码!A:B,2,0),"")</f>
        <v/>
      </c>
    </row>
    <row r="1154" spans="2:2">
      <c r="B1154" s="150" t="str">
        <f>_xlfn.IFNA(VLOOKUP(D1154,标准编码!A:B,2,0),"")</f>
        <v/>
      </c>
    </row>
    <row r="1155" spans="2:2">
      <c r="B1155" s="150" t="str">
        <f>_xlfn.IFNA(VLOOKUP(D1155,标准编码!A:B,2,0),"")</f>
        <v/>
      </c>
    </row>
    <row r="1156" spans="2:2">
      <c r="B1156" s="150" t="str">
        <f>_xlfn.IFNA(VLOOKUP(D1156,标准编码!A:B,2,0),"")</f>
        <v/>
      </c>
    </row>
    <row r="1157" spans="2:2">
      <c r="B1157" s="150" t="str">
        <f>_xlfn.IFNA(VLOOKUP(D1157,标准编码!A:B,2,0),"")</f>
        <v/>
      </c>
    </row>
    <row r="1158" spans="2:2">
      <c r="B1158" s="150" t="str">
        <f>_xlfn.IFNA(VLOOKUP(D1158,标准编码!A:B,2,0),"")</f>
        <v/>
      </c>
    </row>
    <row r="1159" spans="2:2">
      <c r="B1159" s="150" t="str">
        <f>_xlfn.IFNA(VLOOKUP(D1159,标准编码!A:B,2,0),"")</f>
        <v/>
      </c>
    </row>
    <row r="1160" spans="2:2">
      <c r="B1160" s="150" t="str">
        <f>_xlfn.IFNA(VLOOKUP(D1160,标准编码!A:B,2,0),"")</f>
        <v/>
      </c>
    </row>
    <row r="1161" spans="2:2">
      <c r="B1161" s="150" t="str">
        <f>_xlfn.IFNA(VLOOKUP(D1161,标准编码!A:B,2,0),"")</f>
        <v/>
      </c>
    </row>
    <row r="1162" spans="2:2">
      <c r="B1162" s="150" t="str">
        <f>_xlfn.IFNA(VLOOKUP(D1162,标准编码!A:B,2,0),"")</f>
        <v/>
      </c>
    </row>
    <row r="1163" spans="2:2">
      <c r="B1163" s="150" t="str">
        <f>_xlfn.IFNA(VLOOKUP(D1163,标准编码!A:B,2,0),"")</f>
        <v/>
      </c>
    </row>
    <row r="1164" spans="2:2">
      <c r="B1164" s="150" t="str">
        <f>_xlfn.IFNA(VLOOKUP(D1164,标准编码!A:B,2,0),"")</f>
        <v/>
      </c>
    </row>
    <row r="1165" spans="2:2">
      <c r="B1165" s="150" t="str">
        <f>_xlfn.IFNA(VLOOKUP(D1165,标准编码!A:B,2,0),"")</f>
        <v/>
      </c>
    </row>
    <row r="1166" spans="2:2">
      <c r="B1166" s="150" t="str">
        <f>_xlfn.IFNA(VLOOKUP(D1166,标准编码!A:B,2,0),"")</f>
        <v/>
      </c>
    </row>
    <row r="1167" spans="2:2">
      <c r="B1167" s="150" t="str">
        <f>_xlfn.IFNA(VLOOKUP(D1167,标准编码!A:B,2,0),"")</f>
        <v/>
      </c>
    </row>
    <row r="1168" spans="2:2">
      <c r="B1168" s="150" t="str">
        <f>_xlfn.IFNA(VLOOKUP(D1168,标准编码!A:B,2,0),"")</f>
        <v/>
      </c>
    </row>
    <row r="1169" spans="2:2">
      <c r="B1169" s="150" t="str">
        <f>_xlfn.IFNA(VLOOKUP(D1169,标准编码!A:B,2,0),"")</f>
        <v/>
      </c>
    </row>
    <row r="1170" spans="2:2">
      <c r="B1170" s="150" t="str">
        <f>_xlfn.IFNA(VLOOKUP(D1170,标准编码!A:B,2,0),"")</f>
        <v/>
      </c>
    </row>
    <row r="1171" spans="2:2">
      <c r="B1171" s="150" t="str">
        <f>_xlfn.IFNA(VLOOKUP(D1171,标准编码!A:B,2,0),"")</f>
        <v/>
      </c>
    </row>
    <row r="1172" spans="2:2">
      <c r="B1172" s="150" t="str">
        <f>_xlfn.IFNA(VLOOKUP(D1172,标准编码!A:B,2,0),"")</f>
        <v/>
      </c>
    </row>
    <row r="1173" spans="2:2">
      <c r="B1173" s="150" t="str">
        <f>_xlfn.IFNA(VLOOKUP(D1173,标准编码!A:B,2,0),"")</f>
        <v/>
      </c>
    </row>
    <row r="1174" spans="2:2">
      <c r="B1174" s="150" t="str">
        <f>_xlfn.IFNA(VLOOKUP(D1174,标准编码!A:B,2,0),"")</f>
        <v/>
      </c>
    </row>
    <row r="1175" spans="2:2">
      <c r="B1175" s="150" t="str">
        <f>_xlfn.IFNA(VLOOKUP(D1175,标准编码!A:B,2,0),"")</f>
        <v/>
      </c>
    </row>
    <row r="1176" spans="2:2">
      <c r="B1176" s="150" t="str">
        <f>_xlfn.IFNA(VLOOKUP(D1176,标准编码!A:B,2,0),"")</f>
        <v/>
      </c>
    </row>
    <row r="1177" spans="2:2">
      <c r="B1177" s="150" t="str">
        <f>_xlfn.IFNA(VLOOKUP(D1177,标准编码!A:B,2,0),"")</f>
        <v/>
      </c>
    </row>
    <row r="1178" spans="2:2">
      <c r="B1178" s="150" t="str">
        <f>_xlfn.IFNA(VLOOKUP(D1178,标准编码!A:B,2,0),"")</f>
        <v/>
      </c>
    </row>
    <row r="1179" spans="2:2">
      <c r="B1179" s="150" t="str">
        <f>_xlfn.IFNA(VLOOKUP(D1179,标准编码!A:B,2,0),"")</f>
        <v/>
      </c>
    </row>
    <row r="1180" spans="2:2">
      <c r="B1180" s="150" t="str">
        <f>_xlfn.IFNA(VLOOKUP(D1180,标准编码!A:B,2,0),"")</f>
        <v/>
      </c>
    </row>
    <row r="1181" spans="2:2">
      <c r="B1181" s="150" t="str">
        <f>_xlfn.IFNA(VLOOKUP(D1181,标准编码!A:B,2,0),"")</f>
        <v/>
      </c>
    </row>
    <row r="1182" spans="2:2">
      <c r="B1182" s="150" t="str">
        <f>_xlfn.IFNA(VLOOKUP(D1182,标准编码!A:B,2,0),"")</f>
        <v/>
      </c>
    </row>
    <row r="1183" spans="2:2">
      <c r="B1183" s="150" t="str">
        <f>_xlfn.IFNA(VLOOKUP(D1183,标准编码!A:B,2,0),"")</f>
        <v/>
      </c>
    </row>
    <row r="1184" spans="2:2">
      <c r="B1184" s="150" t="str">
        <f>_xlfn.IFNA(VLOOKUP(D1184,标准编码!A:B,2,0),"")</f>
        <v/>
      </c>
    </row>
    <row r="1185" spans="2:2">
      <c r="B1185" s="150" t="str">
        <f>_xlfn.IFNA(VLOOKUP(D1185,标准编码!A:B,2,0),"")</f>
        <v/>
      </c>
    </row>
    <row r="1186" spans="2:2">
      <c r="B1186" s="150" t="str">
        <f>_xlfn.IFNA(VLOOKUP(D1186,标准编码!A:B,2,0),"")</f>
        <v/>
      </c>
    </row>
    <row r="1187" spans="2:2">
      <c r="B1187" s="150" t="str">
        <f>_xlfn.IFNA(VLOOKUP(D1187,标准编码!A:B,2,0),"")</f>
        <v/>
      </c>
    </row>
    <row r="1188" spans="2:2">
      <c r="B1188" s="150" t="str">
        <f>_xlfn.IFNA(VLOOKUP(D1188,标准编码!A:B,2,0),"")</f>
        <v/>
      </c>
    </row>
    <row r="1189" spans="2:2">
      <c r="B1189" s="150" t="str">
        <f>_xlfn.IFNA(VLOOKUP(D1189,标准编码!A:B,2,0),"")</f>
        <v/>
      </c>
    </row>
    <row r="1190" spans="2:2">
      <c r="B1190" s="150" t="str">
        <f>_xlfn.IFNA(VLOOKUP(D1190,标准编码!A:B,2,0),"")</f>
        <v/>
      </c>
    </row>
    <row r="1191" spans="2:2">
      <c r="B1191" s="150" t="str">
        <f>_xlfn.IFNA(VLOOKUP(D1191,标准编码!A:B,2,0),"")</f>
        <v/>
      </c>
    </row>
    <row r="1192" spans="2:2">
      <c r="B1192" s="150" t="str">
        <f>_xlfn.IFNA(VLOOKUP(D1192,标准编码!A:B,2,0),"")</f>
        <v/>
      </c>
    </row>
    <row r="1193" spans="2:2">
      <c r="B1193" s="150" t="str">
        <f>_xlfn.IFNA(VLOOKUP(D1193,标准编码!A:B,2,0),"")</f>
        <v/>
      </c>
    </row>
    <row r="1194" spans="2:2">
      <c r="B1194" s="150" t="str">
        <f>_xlfn.IFNA(VLOOKUP(D1194,标准编码!A:B,2,0),"")</f>
        <v/>
      </c>
    </row>
    <row r="1195" spans="2:2">
      <c r="B1195" s="150" t="str">
        <f>_xlfn.IFNA(VLOOKUP(D1195,标准编码!A:B,2,0),"")</f>
        <v/>
      </c>
    </row>
    <row r="1196" spans="2:2">
      <c r="B1196" s="150" t="str">
        <f>_xlfn.IFNA(VLOOKUP(D1196,标准编码!A:B,2,0),"")</f>
        <v/>
      </c>
    </row>
    <row r="1197" spans="2:2">
      <c r="B1197" s="150" t="str">
        <f>_xlfn.IFNA(VLOOKUP(D1197,标准编码!A:B,2,0),"")</f>
        <v/>
      </c>
    </row>
    <row r="1198" spans="2:2">
      <c r="B1198" s="150" t="str">
        <f>_xlfn.IFNA(VLOOKUP(D1198,标准编码!A:B,2,0),"")</f>
        <v/>
      </c>
    </row>
    <row r="1199" spans="2:2">
      <c r="B1199" s="150" t="str">
        <f>_xlfn.IFNA(VLOOKUP(D1199,标准编码!A:B,2,0),"")</f>
        <v/>
      </c>
    </row>
  </sheetData>
  <autoFilter ref="A1:M807" xr:uid="{F9C5A738-E398-4FAE-A49B-57E22A5B88CD}"/>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sheetPr codeName="Sheet39">
    <tabColor rgb="FFFFC000"/>
  </sheetPr>
  <dimension ref="A1:C13"/>
  <sheetViews>
    <sheetView workbookViewId="0">
      <selection activeCell="G30" sqref="G30"/>
    </sheetView>
  </sheetViews>
  <sheetFormatPr defaultRowHeight="13.8"/>
  <cols>
    <col min="1" max="1" width="16.109375" style="18" bestFit="1" customWidth="1"/>
    <col min="2" max="3" width="22.6640625" style="18" bestFit="1" customWidth="1"/>
    <col min="4" max="16384" width="8.88671875" style="18"/>
  </cols>
  <sheetData>
    <row r="1" spans="1:3" ht="14.4">
      <c r="A1" s="32" t="s">
        <v>85</v>
      </c>
      <c r="B1" s="20" t="s">
        <v>3167</v>
      </c>
      <c r="C1" s="32" t="s">
        <v>3743</v>
      </c>
    </row>
    <row r="2" spans="1:3" ht="14.4">
      <c r="A2" s="61" t="s">
        <v>86</v>
      </c>
      <c r="B2" s="50"/>
      <c r="C2" s="80"/>
    </row>
    <row r="3" spans="1:3" ht="14.4">
      <c r="A3" s="61" t="s">
        <v>87</v>
      </c>
      <c r="B3" s="50"/>
      <c r="C3" s="80"/>
    </row>
    <row r="4" spans="1:3" ht="14.4">
      <c r="A4" s="61"/>
      <c r="B4" s="81"/>
      <c r="C4" s="82"/>
    </row>
    <row r="5" spans="1:3" ht="14.4">
      <c r="A5" s="61"/>
      <c r="B5" s="81"/>
      <c r="C5" s="82"/>
    </row>
    <row r="6" spans="1:3" ht="14.4">
      <c r="A6" s="61"/>
      <c r="B6" s="81"/>
      <c r="C6" s="82"/>
    </row>
    <row r="7" spans="1:3" ht="14.4">
      <c r="A7" s="61"/>
      <c r="B7" s="81"/>
      <c r="C7" s="82"/>
    </row>
    <row r="8" spans="1:3" ht="14.4">
      <c r="A8" s="61"/>
      <c r="B8" s="81"/>
      <c r="C8" s="82"/>
    </row>
    <row r="9" spans="1:3" ht="14.4">
      <c r="A9" s="61"/>
      <c r="B9" s="81"/>
      <c r="C9" s="82"/>
    </row>
    <row r="10" spans="1:3" ht="14.4">
      <c r="A10" s="61"/>
      <c r="B10" s="81"/>
      <c r="C10" s="82"/>
    </row>
    <row r="11" spans="1:3">
      <c r="A11" s="55"/>
      <c r="B11" s="81"/>
      <c r="C11" s="82"/>
    </row>
    <row r="12" spans="1:3" ht="14.4">
      <c r="A12" s="61"/>
      <c r="B12" s="81"/>
      <c r="C12" s="82"/>
    </row>
    <row r="13" spans="1:3" ht="14.4">
      <c r="A13" s="61"/>
      <c r="B13" s="81"/>
      <c r="C13" s="82"/>
    </row>
  </sheetData>
  <phoneticPr fontId="1"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codeName="Sheet412">
    <tabColor rgb="FFFFC000"/>
  </sheetPr>
  <dimension ref="A1:F17"/>
  <sheetViews>
    <sheetView workbookViewId="0">
      <selection activeCell="D22" sqref="D22"/>
    </sheetView>
  </sheetViews>
  <sheetFormatPr defaultRowHeight="13.8"/>
  <cols>
    <col min="1" max="1" width="55.5546875" bestFit="1" customWidth="1"/>
    <col min="5" max="5" width="11" customWidth="1"/>
  </cols>
  <sheetData>
    <row r="1" spans="1:6" ht="14.4">
      <c r="A1" t="s">
        <v>28</v>
      </c>
      <c r="B1" s="20" t="s">
        <v>1814</v>
      </c>
      <c r="C1" s="20" t="s">
        <v>1815</v>
      </c>
      <c r="D1" s="20" t="s">
        <v>1816</v>
      </c>
      <c r="E1" s="20" t="s">
        <v>1813</v>
      </c>
      <c r="F1" s="20" t="s">
        <v>204</v>
      </c>
    </row>
    <row r="2" spans="1:6" ht="15">
      <c r="A2" s="242" t="s">
        <v>1817</v>
      </c>
      <c r="B2" s="307"/>
      <c r="C2" s="274"/>
      <c r="D2" s="274"/>
      <c r="E2" s="275"/>
      <c r="F2" s="307"/>
    </row>
    <row r="3" spans="1:6" ht="15">
      <c r="A3" s="242" t="s">
        <v>3249</v>
      </c>
      <c r="B3" s="307"/>
      <c r="C3" s="274"/>
      <c r="D3" s="274"/>
      <c r="E3" s="275"/>
      <c r="F3" s="307"/>
    </row>
    <row r="4" spans="1:6" ht="15">
      <c r="A4" s="242" t="s">
        <v>3250</v>
      </c>
      <c r="B4" s="307"/>
      <c r="C4" s="274"/>
      <c r="D4" s="274"/>
      <c r="E4" s="275"/>
      <c r="F4" s="307"/>
    </row>
    <row r="5" spans="1:6" ht="15">
      <c r="A5" s="242" t="s">
        <v>1818</v>
      </c>
      <c r="B5" s="307"/>
      <c r="C5" s="274"/>
      <c r="D5" s="274"/>
      <c r="E5" s="275"/>
      <c r="F5" s="307"/>
    </row>
    <row r="6" spans="1:6" ht="15">
      <c r="A6" s="242" t="s">
        <v>1819</v>
      </c>
      <c r="B6" s="307"/>
      <c r="C6" s="274"/>
      <c r="D6" s="274"/>
      <c r="E6" s="275"/>
      <c r="F6" s="307"/>
    </row>
    <row r="7" spans="1:6" ht="15">
      <c r="A7" s="242" t="s">
        <v>1820</v>
      </c>
      <c r="B7" s="255"/>
      <c r="C7" s="255"/>
      <c r="D7" s="255"/>
      <c r="E7" s="255"/>
      <c r="F7" s="255"/>
    </row>
    <row r="8" spans="1:6" ht="15">
      <c r="A8" s="242" t="s">
        <v>1821</v>
      </c>
      <c r="B8" s="255"/>
      <c r="C8" s="255"/>
      <c r="D8" s="255"/>
      <c r="E8" s="255"/>
      <c r="F8" s="255"/>
    </row>
    <row r="9" spans="1:6" ht="15">
      <c r="A9" s="242" t="s">
        <v>1822</v>
      </c>
      <c r="B9" s="255"/>
      <c r="C9" s="255"/>
      <c r="D9" s="255"/>
      <c r="E9" s="255"/>
      <c r="F9" s="255"/>
    </row>
    <row r="10" spans="1:6" ht="15">
      <c r="A10" s="242" t="s">
        <v>1823</v>
      </c>
      <c r="B10" s="255"/>
      <c r="C10" s="255"/>
      <c r="D10" s="255"/>
      <c r="E10" s="255"/>
      <c r="F10" s="255"/>
    </row>
    <row r="11" spans="1:6" ht="15">
      <c r="A11" s="242" t="s">
        <v>1824</v>
      </c>
      <c r="B11" s="255"/>
      <c r="C11" s="255"/>
      <c r="D11" s="255"/>
      <c r="E11" s="255"/>
      <c r="F11" s="255"/>
    </row>
    <row r="12" spans="1:6" ht="15">
      <c r="A12" s="242" t="s">
        <v>1825</v>
      </c>
      <c r="B12" s="255"/>
      <c r="C12" s="255"/>
      <c r="D12" s="255"/>
      <c r="E12" s="255"/>
      <c r="F12" s="255"/>
    </row>
    <row r="13" spans="1:6" ht="15">
      <c r="A13" s="242" t="s">
        <v>1826</v>
      </c>
      <c r="B13" s="255"/>
      <c r="C13" s="255"/>
      <c r="D13" s="255"/>
      <c r="E13" s="255"/>
      <c r="F13" s="255"/>
    </row>
    <row r="14" spans="1:6" ht="15">
      <c r="A14" s="242" t="s">
        <v>1827</v>
      </c>
      <c r="B14" s="255"/>
      <c r="C14" s="255"/>
      <c r="D14" s="255"/>
      <c r="E14" s="255"/>
      <c r="F14" s="255"/>
    </row>
    <row r="15" spans="1:6" ht="15">
      <c r="A15" s="242" t="s">
        <v>1828</v>
      </c>
      <c r="B15" s="255"/>
      <c r="C15" s="255"/>
      <c r="D15" s="255"/>
      <c r="E15" s="255"/>
      <c r="F15" s="255"/>
    </row>
    <row r="16" spans="1:6" ht="15">
      <c r="A16" s="242" t="s">
        <v>1829</v>
      </c>
      <c r="B16" s="255"/>
      <c r="C16" s="255"/>
      <c r="D16" s="255"/>
      <c r="E16" s="255"/>
      <c r="F16" s="255"/>
    </row>
    <row r="17" spans="1:6" ht="15">
      <c r="A17" s="242" t="s">
        <v>1830</v>
      </c>
      <c r="B17" s="255"/>
      <c r="C17" s="255"/>
      <c r="D17" s="255"/>
      <c r="E17" s="255"/>
      <c r="F17" s="255"/>
    </row>
  </sheetData>
  <phoneticPr fontId="1" type="noConversion"/>
  <pageMargins left="0.7" right="0.7" top="0.75" bottom="0.75" header="0.3" footer="0.3"/>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codeName="Sheet413">
    <tabColor rgb="FFFFC000"/>
  </sheetPr>
  <dimension ref="A1:C4"/>
  <sheetViews>
    <sheetView workbookViewId="0">
      <selection activeCell="K30" sqref="K30"/>
    </sheetView>
  </sheetViews>
  <sheetFormatPr defaultRowHeight="13.8"/>
  <cols>
    <col min="1" max="1" width="13.88671875" bestFit="1" customWidth="1"/>
  </cols>
  <sheetData>
    <row r="1" spans="1:3">
      <c r="A1" t="s">
        <v>1831</v>
      </c>
      <c r="B1" t="s">
        <v>412</v>
      </c>
      <c r="C1" t="s">
        <v>413</v>
      </c>
    </row>
    <row r="2" spans="1:3">
      <c r="A2" t="s">
        <v>1832</v>
      </c>
      <c r="B2" s="255"/>
      <c r="C2" s="255"/>
    </row>
    <row r="3" spans="1:3">
      <c r="A3" t="s">
        <v>1833</v>
      </c>
      <c r="B3" s="255"/>
      <c r="C3" s="255"/>
    </row>
    <row r="4" spans="1:3">
      <c r="A4" t="s">
        <v>262</v>
      </c>
      <c r="B4">
        <f>SUM(B2:B3)</f>
        <v>0</v>
      </c>
      <c r="C4">
        <f>SUM(C2:C3)</f>
        <v>0</v>
      </c>
    </row>
  </sheetData>
  <phoneticPr fontId="1" type="noConversion"/>
  <pageMargins left="0.7" right="0.7" top="0.75" bottom="0.75" header="0.3" footer="0.3"/>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codeName="Sheet414">
    <tabColor rgb="FFFFC000"/>
  </sheetPr>
  <dimension ref="A1:C4"/>
  <sheetViews>
    <sheetView workbookViewId="0">
      <selection activeCell="H19" sqref="H19"/>
    </sheetView>
  </sheetViews>
  <sheetFormatPr defaultRowHeight="13.8"/>
  <cols>
    <col min="1" max="1" width="16.109375" bestFit="1" customWidth="1"/>
  </cols>
  <sheetData>
    <row r="1" spans="1:3">
      <c r="A1" t="s">
        <v>1834</v>
      </c>
      <c r="B1" t="s">
        <v>412</v>
      </c>
      <c r="C1" t="s">
        <v>413</v>
      </c>
    </row>
    <row r="2" spans="1:3">
      <c r="A2" t="s">
        <v>1832</v>
      </c>
      <c r="B2" s="255"/>
      <c r="C2" s="255"/>
    </row>
    <row r="3" spans="1:3">
      <c r="A3" t="s">
        <v>1833</v>
      </c>
      <c r="B3" s="255"/>
      <c r="C3" s="255"/>
    </row>
    <row r="4" spans="1:3">
      <c r="A4" t="s">
        <v>262</v>
      </c>
      <c r="B4">
        <f>SUM(B2:B3)</f>
        <v>0</v>
      </c>
      <c r="C4">
        <f>SUM(C2:C3)</f>
        <v>0</v>
      </c>
    </row>
  </sheetData>
  <phoneticPr fontId="1" type="noConversion"/>
  <pageMargins left="0.7" right="0.7" top="0.75" bottom="0.75" header="0.3" footer="0.3"/>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codeName="Sheet415">
    <tabColor rgb="FFFFC000"/>
  </sheetPr>
  <dimension ref="A1:C8"/>
  <sheetViews>
    <sheetView workbookViewId="0">
      <selection activeCell="L26" sqref="L26"/>
    </sheetView>
  </sheetViews>
  <sheetFormatPr defaultRowHeight="13.8"/>
  <cols>
    <col min="1" max="2" width="7.5546875" bestFit="1" customWidth="1"/>
    <col min="3" max="3" width="9.5546875" bestFit="1" customWidth="1"/>
  </cols>
  <sheetData>
    <row r="1" spans="1:3" ht="28.8">
      <c r="A1" s="20" t="s">
        <v>1835</v>
      </c>
      <c r="B1" s="20" t="s">
        <v>3374</v>
      </c>
      <c r="C1" s="20" t="s">
        <v>1836</v>
      </c>
    </row>
    <row r="2" spans="1:3">
      <c r="A2" s="357"/>
      <c r="B2" s="358"/>
      <c r="C2" s="358"/>
    </row>
    <row r="3" spans="1:3">
      <c r="A3" s="357"/>
      <c r="B3" s="358"/>
      <c r="C3" s="358"/>
    </row>
    <row r="4" spans="1:3">
      <c r="A4" s="359"/>
      <c r="B4" s="360"/>
      <c r="C4" s="360"/>
    </row>
    <row r="5" spans="1:3">
      <c r="A5" s="246"/>
      <c r="B5" s="246"/>
      <c r="C5" s="246"/>
    </row>
    <row r="6" spans="1:3">
      <c r="A6" s="246"/>
      <c r="B6" s="246"/>
      <c r="C6" s="246"/>
    </row>
    <row r="7" spans="1:3">
      <c r="A7" s="246"/>
      <c r="B7" s="246"/>
      <c r="C7" s="246"/>
    </row>
    <row r="8" spans="1:3">
      <c r="A8" s="18"/>
      <c r="B8" s="18"/>
      <c r="C8" s="18"/>
    </row>
  </sheetData>
  <phoneticPr fontId="1" type="noConversion"/>
  <pageMargins left="0.7" right="0.7" top="0.75" bottom="0.75" header="0.3" footer="0.3"/>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codeName="Sheet416">
    <tabColor rgb="FFFFC000"/>
  </sheetPr>
  <dimension ref="A1:C26"/>
  <sheetViews>
    <sheetView workbookViewId="0">
      <selection activeCell="B10" sqref="B10"/>
    </sheetView>
  </sheetViews>
  <sheetFormatPr defaultRowHeight="13.8"/>
  <cols>
    <col min="1" max="1" width="90" customWidth="1"/>
    <col min="2" max="2" width="8.88671875" style="229"/>
  </cols>
  <sheetData>
    <row r="1" spans="1:3" ht="14.4">
      <c r="A1" s="54" t="s">
        <v>28</v>
      </c>
      <c r="B1" s="153" t="s">
        <v>3373</v>
      </c>
      <c r="C1" s="20" t="s">
        <v>1837</v>
      </c>
    </row>
    <row r="2" spans="1:3" ht="14.4">
      <c r="A2" s="19" t="s">
        <v>1838</v>
      </c>
      <c r="B2" s="278"/>
      <c r="C2" s="50"/>
    </row>
    <row r="3" spans="1:3" ht="14.4">
      <c r="A3" s="19" t="s">
        <v>1839</v>
      </c>
      <c r="B3" s="278"/>
      <c r="C3" s="50"/>
    </row>
    <row r="4" spans="1:3" ht="28.8">
      <c r="A4" s="19" t="s">
        <v>1840</v>
      </c>
      <c r="B4" s="278"/>
      <c r="C4" s="50"/>
    </row>
    <row r="5" spans="1:3" ht="14.4">
      <c r="A5" s="19" t="s">
        <v>1841</v>
      </c>
      <c r="B5" s="278"/>
      <c r="C5" s="50"/>
    </row>
    <row r="6" spans="1:3" ht="28.8">
      <c r="A6" s="19" t="s">
        <v>1842</v>
      </c>
      <c r="B6" s="278"/>
      <c r="C6" s="50"/>
    </row>
    <row r="7" spans="1:3" ht="14.4">
      <c r="A7" s="19" t="s">
        <v>1843</v>
      </c>
      <c r="B7" s="278"/>
      <c r="C7" s="50"/>
    </row>
    <row r="8" spans="1:3" ht="14.4">
      <c r="A8" s="19" t="s">
        <v>1844</v>
      </c>
      <c r="B8" s="278"/>
      <c r="C8" s="50"/>
    </row>
    <row r="9" spans="1:3" ht="14.4">
      <c r="A9" s="19" t="s">
        <v>1845</v>
      </c>
      <c r="B9" s="278"/>
      <c r="C9" s="50"/>
    </row>
    <row r="10" spans="1:3" ht="14.4">
      <c r="A10" s="19" t="s">
        <v>1846</v>
      </c>
      <c r="B10" s="278"/>
      <c r="C10" s="50"/>
    </row>
    <row r="11" spans="1:3" ht="14.4">
      <c r="A11" s="19" t="s">
        <v>1847</v>
      </c>
      <c r="B11" s="278"/>
      <c r="C11" s="50"/>
    </row>
    <row r="12" spans="1:3" ht="14.4">
      <c r="A12" s="19" t="s">
        <v>1848</v>
      </c>
      <c r="B12" s="278"/>
      <c r="C12" s="50"/>
    </row>
    <row r="13" spans="1:3" ht="14.4">
      <c r="A13" s="19" t="s">
        <v>1849</v>
      </c>
      <c r="B13" s="278"/>
      <c r="C13" s="50"/>
    </row>
    <row r="14" spans="1:3" ht="14.4">
      <c r="A14" s="19" t="s">
        <v>1850</v>
      </c>
      <c r="B14" s="278"/>
      <c r="C14" s="50"/>
    </row>
    <row r="15" spans="1:3" ht="28.8">
      <c r="A15" s="19" t="s">
        <v>1851</v>
      </c>
      <c r="B15" s="278"/>
      <c r="C15" s="50"/>
    </row>
    <row r="16" spans="1:3" ht="14.4">
      <c r="A16" s="19" t="s">
        <v>1852</v>
      </c>
      <c r="B16" s="278"/>
      <c r="C16" s="50"/>
    </row>
    <row r="17" spans="1:3" ht="14.4">
      <c r="A17" s="19" t="s">
        <v>1853</v>
      </c>
      <c r="B17" s="278"/>
      <c r="C17" s="50"/>
    </row>
    <row r="18" spans="1:3" ht="14.4">
      <c r="A18" s="19" t="s">
        <v>1854</v>
      </c>
      <c r="B18" s="278"/>
      <c r="C18" s="50"/>
    </row>
    <row r="19" spans="1:3" ht="14.4">
      <c r="A19" s="19" t="s">
        <v>1855</v>
      </c>
      <c r="B19" s="278"/>
      <c r="C19" s="50"/>
    </row>
    <row r="20" spans="1:3" ht="14.4">
      <c r="A20" s="19" t="s">
        <v>1856</v>
      </c>
      <c r="B20" s="278"/>
      <c r="C20" s="50"/>
    </row>
    <row r="21" spans="1:3" ht="14.4">
      <c r="A21" s="19" t="s">
        <v>1857</v>
      </c>
      <c r="B21" s="278"/>
      <c r="C21" s="50"/>
    </row>
    <row r="22" spans="1:3" ht="14.4">
      <c r="A22" s="19" t="s">
        <v>1858</v>
      </c>
      <c r="B22" s="278"/>
      <c r="C22" s="50"/>
    </row>
    <row r="23" spans="1:3" ht="14.4">
      <c r="A23" s="20" t="s">
        <v>546</v>
      </c>
      <c r="B23" s="151">
        <f>SUM(B2:B22)</f>
        <v>0</v>
      </c>
      <c r="C23" s="50"/>
    </row>
    <row r="24" spans="1:3" ht="14.4">
      <c r="A24" s="44" t="s">
        <v>1859</v>
      </c>
      <c r="B24" s="278"/>
      <c r="C24" s="50"/>
    </row>
    <row r="25" spans="1:3" ht="14.4">
      <c r="A25" s="44" t="s">
        <v>1860</v>
      </c>
      <c r="B25" s="278"/>
      <c r="C25" s="50"/>
    </row>
    <row r="26" spans="1:3" ht="14.4">
      <c r="A26" s="20" t="s">
        <v>204</v>
      </c>
      <c r="B26" s="151">
        <f>B23-B24-B25</f>
        <v>0</v>
      </c>
      <c r="C26" s="50"/>
    </row>
  </sheetData>
  <phoneticPr fontId="1"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codeName="Sheet417">
    <tabColor rgb="FFFFC000"/>
  </sheetPr>
  <dimension ref="A1:D3"/>
  <sheetViews>
    <sheetView workbookViewId="0">
      <selection activeCell="A27" sqref="A27"/>
    </sheetView>
  </sheetViews>
  <sheetFormatPr defaultRowHeight="13.8"/>
  <cols>
    <col min="1" max="1" width="75.6640625" customWidth="1"/>
    <col min="2" max="2" width="28.109375" bestFit="1" customWidth="1"/>
    <col min="3" max="4" width="13.88671875" bestFit="1" customWidth="1"/>
  </cols>
  <sheetData>
    <row r="1" spans="1:4" ht="14.4">
      <c r="A1" s="32" t="s">
        <v>1861</v>
      </c>
      <c r="B1" s="35" t="s">
        <v>1866</v>
      </c>
      <c r="C1" s="40" t="s">
        <v>1862</v>
      </c>
      <c r="D1" s="40" t="s">
        <v>1863</v>
      </c>
    </row>
    <row r="2" spans="1:4" ht="14.4">
      <c r="A2" s="19" t="s">
        <v>1864</v>
      </c>
      <c r="B2" s="274"/>
      <c r="C2" s="274"/>
      <c r="D2" s="274"/>
    </row>
    <row r="3" spans="1:4" ht="14.4">
      <c r="A3" s="19" t="s">
        <v>1865</v>
      </c>
      <c r="B3" s="274"/>
      <c r="C3" s="274"/>
      <c r="D3" s="274"/>
    </row>
  </sheetData>
  <phoneticPr fontId="1" type="noConversion"/>
  <pageMargins left="0.7" right="0.7" top="0.75" bottom="0.75" header="0.3" footer="0.3"/>
  <pageSetup paperSize="9" orientation="portrait" verticalDpi="0" r:id="rId1"/>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sheetPr codeName="Sheet418"/>
  <dimension ref="A1:D19"/>
  <sheetViews>
    <sheetView workbookViewId="0">
      <selection activeCell="B27" sqref="B27"/>
    </sheetView>
  </sheetViews>
  <sheetFormatPr defaultRowHeight="13.8"/>
  <cols>
    <col min="1" max="1" width="57.77734375" bestFit="1" customWidth="1"/>
    <col min="2" max="2" width="50.77734375" style="158" bestFit="1" customWidth="1"/>
    <col min="3" max="3" width="17.109375" style="229" bestFit="1" customWidth="1"/>
  </cols>
  <sheetData>
    <row r="1" spans="1:4">
      <c r="A1" t="s">
        <v>28</v>
      </c>
      <c r="B1" s="158" t="s">
        <v>109</v>
      </c>
      <c r="C1" s="229" t="s">
        <v>2721</v>
      </c>
    </row>
    <row r="2" spans="1:4">
      <c r="A2" t="s">
        <v>2753</v>
      </c>
      <c r="B2" s="158">
        <v>1</v>
      </c>
      <c r="C2" s="229">
        <f>利润表!B36</f>
        <v>0</v>
      </c>
    </row>
    <row r="3" spans="1:4">
      <c r="A3" t="s">
        <v>1864</v>
      </c>
      <c r="B3" s="158" t="s">
        <v>2754</v>
      </c>
      <c r="C3" s="229">
        <f>利润表!B44</f>
        <v>0</v>
      </c>
    </row>
    <row r="4" spans="1:4">
      <c r="A4" t="s">
        <v>2723</v>
      </c>
      <c r="B4" s="158">
        <v>3</v>
      </c>
      <c r="C4" s="229">
        <f>非经常性损益上市公司!B26</f>
        <v>0</v>
      </c>
    </row>
    <row r="5" spans="1:4">
      <c r="A5" t="s">
        <v>2724</v>
      </c>
      <c r="B5" s="158" t="s">
        <v>2755</v>
      </c>
      <c r="C5" s="229">
        <f>C3-C4</f>
        <v>0</v>
      </c>
    </row>
    <row r="6" spans="1:4">
      <c r="A6" t="s">
        <v>2756</v>
      </c>
      <c r="B6" s="158" t="s">
        <v>2757</v>
      </c>
      <c r="C6" s="229">
        <f>负债表!B72</f>
        <v>0</v>
      </c>
    </row>
    <row r="7" spans="1:4">
      <c r="A7" t="s">
        <v>2758</v>
      </c>
      <c r="B7" s="158" t="s">
        <v>2759</v>
      </c>
      <c r="C7" s="229" t="e">
        <f>C3/C6</f>
        <v>#DIV/0!</v>
      </c>
    </row>
    <row r="8" spans="1:4">
      <c r="A8" t="s">
        <v>2760</v>
      </c>
      <c r="B8" s="158" t="s">
        <v>2761</v>
      </c>
      <c r="C8" s="229" t="e">
        <f>C5/C6</f>
        <v>#DIV/0!</v>
      </c>
    </row>
    <row r="9" spans="1:4">
      <c r="A9" t="s">
        <v>2762</v>
      </c>
      <c r="B9" s="158" t="s">
        <v>2763</v>
      </c>
      <c r="C9" s="229">
        <f>负债表!C72</f>
        <v>0</v>
      </c>
    </row>
    <row r="10" spans="1:4">
      <c r="A10" t="s">
        <v>2764</v>
      </c>
      <c r="B10" s="158" t="s">
        <v>2765</v>
      </c>
      <c r="C10" s="288"/>
      <c r="D10" s="255">
        <f>本期所有者权益变动表!B10</f>
        <v>0</v>
      </c>
    </row>
    <row r="11" spans="1:4">
      <c r="A11" t="s">
        <v>2766</v>
      </c>
      <c r="B11" s="158" t="s">
        <v>2767</v>
      </c>
      <c r="C11" s="288"/>
      <c r="D11" s="255">
        <f>本期所有者权益变动表!L25</f>
        <v>0</v>
      </c>
    </row>
    <row r="12" spans="1:4">
      <c r="A12" t="s">
        <v>2736</v>
      </c>
      <c r="B12" s="158" t="s">
        <v>2768</v>
      </c>
      <c r="C12" s="288"/>
    </row>
    <row r="13" spans="1:4">
      <c r="A13" t="s">
        <v>2769</v>
      </c>
      <c r="B13" s="158" t="s">
        <v>2770</v>
      </c>
      <c r="C13" s="288"/>
    </row>
    <row r="14" spans="1:4">
      <c r="A14" t="s">
        <v>2771</v>
      </c>
      <c r="B14" s="158" t="s">
        <v>2772</v>
      </c>
      <c r="C14" s="288"/>
    </row>
    <row r="15" spans="1:4">
      <c r="A15" t="s">
        <v>2773</v>
      </c>
      <c r="B15" s="158" t="s">
        <v>2774</v>
      </c>
      <c r="C15" s="288"/>
    </row>
    <row r="16" spans="1:4">
      <c r="A16" t="s">
        <v>2775</v>
      </c>
      <c r="B16" s="158" t="s">
        <v>2776</v>
      </c>
      <c r="C16" s="288"/>
    </row>
    <row r="17" spans="1:3">
      <c r="A17" t="s">
        <v>2777</v>
      </c>
      <c r="B17" s="158" t="s">
        <v>3248</v>
      </c>
      <c r="C17" s="288"/>
    </row>
    <row r="18" spans="1:3">
      <c r="A18" t="s">
        <v>2778</v>
      </c>
      <c r="B18" s="158" t="s">
        <v>2779</v>
      </c>
      <c r="C18" s="229" t="e">
        <f>C2/C17</f>
        <v>#DIV/0!</v>
      </c>
    </row>
    <row r="19" spans="1:3">
      <c r="A19" t="s">
        <v>2780</v>
      </c>
      <c r="B19" s="158" t="s">
        <v>2781</v>
      </c>
      <c r="C19" s="229" t="e">
        <f>C5/C17</f>
        <v>#DIV/0!</v>
      </c>
    </row>
  </sheetData>
  <phoneticPr fontId="1" type="noConversion"/>
  <pageMargins left="0.7" right="0.7" top="0.75" bottom="0.75" header="0.3" footer="0.3"/>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sheetPr codeName="Sheet419"/>
  <dimension ref="A1:C21"/>
  <sheetViews>
    <sheetView workbookViewId="0">
      <selection activeCell="B23" sqref="B23"/>
    </sheetView>
  </sheetViews>
  <sheetFormatPr defaultRowHeight="13.8"/>
  <cols>
    <col min="1" max="1" width="57.77734375" bestFit="1" customWidth="1"/>
    <col min="2" max="2" width="41.6640625" bestFit="1" customWidth="1"/>
    <col min="3" max="3" width="15.44140625" style="229" bestFit="1" customWidth="1"/>
    <col min="4" max="4" width="7.5546875" bestFit="1" customWidth="1"/>
  </cols>
  <sheetData>
    <row r="1" spans="1:3">
      <c r="A1" t="s">
        <v>28</v>
      </c>
      <c r="B1" s="158" t="s">
        <v>109</v>
      </c>
      <c r="C1" s="229" t="s">
        <v>2721</v>
      </c>
    </row>
    <row r="2" spans="1:3">
      <c r="A2" t="s">
        <v>1864</v>
      </c>
      <c r="B2" s="158" t="s">
        <v>2722</v>
      </c>
      <c r="C2" s="229">
        <f>利润表!B44</f>
        <v>0</v>
      </c>
    </row>
    <row r="3" spans="1:3">
      <c r="A3" t="s">
        <v>2723</v>
      </c>
      <c r="B3" s="158">
        <v>2</v>
      </c>
      <c r="C3" s="229">
        <f>非经常性损益上市公司!B26</f>
        <v>0</v>
      </c>
    </row>
    <row r="4" spans="1:3">
      <c r="A4" t="s">
        <v>2724</v>
      </c>
      <c r="B4" s="158" t="s">
        <v>2725</v>
      </c>
      <c r="C4" s="229">
        <f>C2-C3</f>
        <v>0</v>
      </c>
    </row>
    <row r="5" spans="1:3">
      <c r="A5" t="s">
        <v>2726</v>
      </c>
      <c r="B5" s="158" t="s">
        <v>2727</v>
      </c>
      <c r="C5" s="229">
        <f>本期所有者权益变动表!B6</f>
        <v>0</v>
      </c>
    </row>
    <row r="6" spans="1:3">
      <c r="A6" t="s">
        <v>2728</v>
      </c>
      <c r="B6" s="158" t="s">
        <v>2729</v>
      </c>
      <c r="C6" s="288"/>
    </row>
    <row r="7" spans="1:3">
      <c r="A7" t="s">
        <v>2730</v>
      </c>
      <c r="B7" s="158" t="s">
        <v>2731</v>
      </c>
      <c r="C7" s="288"/>
    </row>
    <row r="8" spans="1:3">
      <c r="A8" t="s">
        <v>2732</v>
      </c>
      <c r="B8" s="158" t="s">
        <v>2733</v>
      </c>
      <c r="C8" s="288"/>
    </row>
    <row r="9" spans="1:3">
      <c r="A9" t="s">
        <v>2734</v>
      </c>
      <c r="B9" s="158" t="s">
        <v>2735</v>
      </c>
      <c r="C9" s="288"/>
    </row>
    <row r="10" spans="1:3">
      <c r="A10" t="s">
        <v>2736</v>
      </c>
      <c r="B10" s="158" t="s">
        <v>2737</v>
      </c>
      <c r="C10" s="288"/>
    </row>
    <row r="11" spans="1:3">
      <c r="A11" t="s">
        <v>2738</v>
      </c>
      <c r="B11" s="158" t="s">
        <v>2739</v>
      </c>
      <c r="C11" s="288"/>
    </row>
    <row r="12" spans="1:3">
      <c r="A12" t="s">
        <v>2740</v>
      </c>
      <c r="B12" s="158" t="s">
        <v>2741</v>
      </c>
      <c r="C12" s="288"/>
    </row>
    <row r="13" spans="1:3" ht="14.4" customHeight="1">
      <c r="A13" t="s">
        <v>2742</v>
      </c>
      <c r="B13" s="158" t="s">
        <v>3245</v>
      </c>
      <c r="C13" s="288"/>
    </row>
    <row r="14" spans="1:3">
      <c r="A14" t="s">
        <v>2743</v>
      </c>
      <c r="B14" s="158" t="s">
        <v>2744</v>
      </c>
      <c r="C14" s="229" t="e">
        <f>C2/C13</f>
        <v>#DIV/0!</v>
      </c>
    </row>
    <row r="15" spans="1:3">
      <c r="A15" t="s">
        <v>2745</v>
      </c>
      <c r="B15" s="158" t="s">
        <v>2746</v>
      </c>
      <c r="C15" s="229" t="e">
        <f>C4/C13</f>
        <v>#DIV/0!</v>
      </c>
    </row>
    <row r="16" spans="1:3">
      <c r="A16" t="s">
        <v>2747</v>
      </c>
      <c r="B16" s="158">
        <v>15</v>
      </c>
      <c r="C16" s="288"/>
    </row>
    <row r="17" spans="1:3">
      <c r="A17" t="s">
        <v>2748</v>
      </c>
      <c r="B17" s="158">
        <v>16</v>
      </c>
      <c r="C17" s="288"/>
    </row>
    <row r="18" spans="1:3">
      <c r="A18" t="s">
        <v>2749</v>
      </c>
      <c r="B18" s="158">
        <v>17</v>
      </c>
      <c r="C18" s="288"/>
    </row>
    <row r="19" spans="1:3">
      <c r="A19" t="s">
        <v>2750</v>
      </c>
      <c r="B19" s="158">
        <v>18</v>
      </c>
      <c r="C19" s="288"/>
    </row>
    <row r="20" spans="1:3">
      <c r="A20" t="s">
        <v>2751</v>
      </c>
      <c r="B20" s="158" t="s">
        <v>3246</v>
      </c>
      <c r="C20" s="229" t="e">
        <f>(C2+(C16-C18)*(C2-C17))/(C13+C19)</f>
        <v>#DIV/0!</v>
      </c>
    </row>
    <row r="21" spans="1:3">
      <c r="A21" t="s">
        <v>2752</v>
      </c>
      <c r="B21" s="158" t="s">
        <v>3247</v>
      </c>
      <c r="C21" s="229" t="e">
        <f>(C4+(C16-C18)*(C2-C17))/(C13+C19)</f>
        <v>#DIV/0!</v>
      </c>
    </row>
  </sheetData>
  <phoneticPr fontId="1" type="noConversion"/>
  <pageMargins left="0.7" right="0.7" top="0.75" bottom="0.75" header="0.3" footer="0.3"/>
</worksheet>
</file>

<file path=xl/worksheets/sheet4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sheetPr codeName="Sheet420"/>
  <dimension ref="A1:FH109"/>
  <sheetViews>
    <sheetView workbookViewId="0">
      <selection activeCell="B21" sqref="B21"/>
    </sheetView>
  </sheetViews>
  <sheetFormatPr defaultRowHeight="13.8"/>
  <cols>
    <col min="1" max="1" width="53.44140625" bestFit="1" customWidth="1"/>
    <col min="2" max="2" width="55.5546875" bestFit="1" customWidth="1"/>
    <col min="3" max="3" width="53.44140625" bestFit="1" customWidth="1"/>
    <col min="4" max="4" width="71" bestFit="1" customWidth="1"/>
    <col min="5" max="5" width="36.6640625" bestFit="1" customWidth="1"/>
    <col min="6" max="6" width="53.44140625" bestFit="1" customWidth="1"/>
    <col min="7" max="7" width="35.88671875" bestFit="1" customWidth="1"/>
    <col min="8" max="8" width="71" bestFit="1" customWidth="1"/>
    <col min="9" max="9" width="68.77734375" bestFit="1" customWidth="1"/>
    <col min="10" max="10" width="38" bestFit="1" customWidth="1"/>
    <col min="11" max="11" width="68.77734375" bestFit="1" customWidth="1"/>
    <col min="12" max="12" width="40.21875" bestFit="1" customWidth="1"/>
    <col min="13" max="13" width="38" bestFit="1" customWidth="1"/>
    <col min="14" max="14" width="55.5546875" bestFit="1" customWidth="1"/>
    <col min="15" max="15" width="33.6640625" bestFit="1" customWidth="1"/>
    <col min="16" max="16" width="38" bestFit="1" customWidth="1"/>
    <col min="17" max="17" width="35.88671875" bestFit="1" customWidth="1"/>
    <col min="18" max="18" width="33.6640625" bestFit="1" customWidth="1"/>
    <col min="19" max="19" width="40.21875" bestFit="1" customWidth="1"/>
    <col min="20" max="21" width="24.88671875" bestFit="1" customWidth="1"/>
    <col min="22" max="22" width="22.6640625" bestFit="1" customWidth="1"/>
    <col min="23" max="23" width="18.33203125" bestFit="1" customWidth="1"/>
    <col min="24" max="24" width="22.6640625" bestFit="1" customWidth="1"/>
    <col min="25" max="26" width="31.44140625" bestFit="1" customWidth="1"/>
    <col min="27" max="28" width="20.44140625" bestFit="1" customWidth="1"/>
    <col min="29" max="29" width="42.44140625" bestFit="1" customWidth="1"/>
    <col min="30" max="30" width="44.6640625" bestFit="1" customWidth="1"/>
    <col min="31" max="32" width="18.33203125" bestFit="1" customWidth="1"/>
    <col min="33" max="33" width="25.44140625" bestFit="1" customWidth="1"/>
    <col min="34" max="34" width="20.44140625" bestFit="1" customWidth="1"/>
    <col min="35" max="35" width="29.21875" bestFit="1" customWidth="1"/>
    <col min="36" max="37" width="13.33203125" bestFit="1" customWidth="1"/>
    <col min="38" max="38" width="16.109375" bestFit="1" customWidth="1"/>
    <col min="39" max="39" width="13.88671875" bestFit="1" customWidth="1"/>
    <col min="40" max="41" width="16.109375" bestFit="1" customWidth="1"/>
    <col min="42" max="42" width="13.33203125" bestFit="1" customWidth="1"/>
    <col min="43" max="44" width="16.109375" bestFit="1" customWidth="1"/>
    <col min="45" max="45" width="13.88671875" bestFit="1" customWidth="1"/>
    <col min="46" max="46" width="13.33203125" bestFit="1" customWidth="1"/>
    <col min="47" max="47" width="20.44140625" bestFit="1" customWidth="1"/>
    <col min="48" max="48" width="18.33203125" bestFit="1" customWidth="1"/>
    <col min="49" max="49" width="13.33203125" bestFit="1" customWidth="1"/>
    <col min="50" max="50" width="18.33203125" bestFit="1" customWidth="1"/>
    <col min="51" max="51" width="16.109375" bestFit="1" customWidth="1"/>
    <col min="52" max="53" width="13.33203125" bestFit="1" customWidth="1"/>
    <col min="54" max="54" width="13.88671875" bestFit="1" customWidth="1"/>
    <col min="55" max="57" width="13.33203125" bestFit="1" customWidth="1"/>
    <col min="58" max="58" width="13.88671875" bestFit="1" customWidth="1"/>
    <col min="59" max="59" width="13.33203125" bestFit="1" customWidth="1"/>
    <col min="60" max="60" width="16.109375" bestFit="1" customWidth="1"/>
    <col min="61" max="61" width="13.33203125" bestFit="1" customWidth="1"/>
    <col min="62" max="62" width="16.109375" bestFit="1" customWidth="1"/>
    <col min="63" max="63" width="13.88671875" bestFit="1" customWidth="1"/>
    <col min="64" max="66" width="13.33203125" bestFit="1" customWidth="1"/>
    <col min="67" max="67" width="16.109375" bestFit="1" customWidth="1"/>
    <col min="68" max="69" width="13.33203125" bestFit="1" customWidth="1"/>
    <col min="70" max="70" width="13.88671875" bestFit="1" customWidth="1"/>
    <col min="71" max="76" width="13.33203125" bestFit="1" customWidth="1"/>
    <col min="77" max="77" width="18.33203125" bestFit="1" customWidth="1"/>
    <col min="78" max="80" width="13.33203125" bestFit="1" customWidth="1"/>
    <col min="81" max="81" width="13.88671875" bestFit="1" customWidth="1"/>
    <col min="82" max="82" width="13.33203125" bestFit="1" customWidth="1"/>
    <col min="83" max="84" width="16.109375" bestFit="1" customWidth="1"/>
    <col min="85" max="85" width="13.33203125" bestFit="1" customWidth="1"/>
    <col min="86" max="86" width="13.88671875" bestFit="1" customWidth="1"/>
    <col min="87" max="88" width="13.33203125" bestFit="1" customWidth="1"/>
    <col min="89" max="91" width="13.88671875" bestFit="1" customWidth="1"/>
    <col min="92" max="92" width="13.33203125" bestFit="1" customWidth="1"/>
    <col min="93" max="93" width="13.88671875" bestFit="1" customWidth="1"/>
    <col min="94" max="94" width="13.33203125" bestFit="1" customWidth="1"/>
    <col min="95" max="95" width="13.88671875" bestFit="1" customWidth="1"/>
    <col min="96" max="96" width="13.33203125" bestFit="1" customWidth="1"/>
    <col min="97" max="97" width="18.33203125" bestFit="1" customWidth="1"/>
    <col min="98" max="98" width="13.88671875" bestFit="1" customWidth="1"/>
    <col min="99" max="99" width="16.109375" bestFit="1" customWidth="1"/>
    <col min="100" max="101" width="14.5546875" bestFit="1" customWidth="1"/>
    <col min="102" max="102" width="16.109375" bestFit="1" customWidth="1"/>
    <col min="103" max="103" width="18.33203125" bestFit="1" customWidth="1"/>
    <col min="104" max="105" width="14.5546875" bestFit="1" customWidth="1"/>
    <col min="106" max="106" width="16.109375" bestFit="1" customWidth="1"/>
    <col min="107" max="112" width="14.5546875" bestFit="1" customWidth="1"/>
    <col min="113" max="113" width="20.44140625" bestFit="1" customWidth="1"/>
    <col min="114" max="119" width="14.5546875" bestFit="1" customWidth="1"/>
    <col min="120" max="120" width="16.109375" bestFit="1" customWidth="1"/>
    <col min="121" max="122" width="14.5546875" bestFit="1" customWidth="1"/>
    <col min="123" max="123" width="18.33203125" bestFit="1" customWidth="1"/>
    <col min="124" max="131" width="14.5546875" bestFit="1" customWidth="1"/>
    <col min="132" max="132" width="18.33203125" bestFit="1" customWidth="1"/>
    <col min="133" max="136" width="14.5546875" bestFit="1" customWidth="1"/>
    <col min="137" max="137" width="18.33203125" bestFit="1" customWidth="1"/>
    <col min="138" max="138" width="14.5546875" bestFit="1" customWidth="1"/>
    <col min="139" max="140" width="18.33203125" bestFit="1" customWidth="1"/>
    <col min="141" max="143" width="14.5546875" bestFit="1" customWidth="1"/>
    <col min="144" max="144" width="20.44140625" bestFit="1" customWidth="1"/>
    <col min="145" max="146" width="14.5546875" bestFit="1" customWidth="1"/>
    <col min="147" max="147" width="16.109375" bestFit="1" customWidth="1"/>
    <col min="148" max="149" width="14.5546875" bestFit="1" customWidth="1"/>
    <col min="150" max="150" width="18.33203125" bestFit="1" customWidth="1"/>
    <col min="151" max="151" width="16.109375" bestFit="1" customWidth="1"/>
    <col min="152" max="152" width="18.33203125" bestFit="1" customWidth="1"/>
    <col min="153" max="157" width="14.5546875" bestFit="1" customWidth="1"/>
    <col min="158" max="158" width="29.21875" bestFit="1" customWidth="1"/>
    <col min="159" max="164" width="14.5546875" bestFit="1" customWidth="1"/>
  </cols>
  <sheetData>
    <row r="1" spans="1:164">
      <c r="A1" t="s">
        <v>3902</v>
      </c>
      <c r="B1" t="s">
        <v>3903</v>
      </c>
      <c r="C1" t="s">
        <v>3904</v>
      </c>
      <c r="D1" t="s">
        <v>3905</v>
      </c>
      <c r="E1" t="s">
        <v>3906</v>
      </c>
      <c r="F1" t="s">
        <v>3931</v>
      </c>
      <c r="G1" t="s">
        <v>3932</v>
      </c>
      <c r="H1" t="s">
        <v>3933</v>
      </c>
      <c r="I1" t="s">
        <v>3934</v>
      </c>
      <c r="J1" t="s">
        <v>3935</v>
      </c>
      <c r="K1" t="s">
        <v>3936</v>
      </c>
      <c r="L1" t="s">
        <v>3937</v>
      </c>
      <c r="M1" t="s">
        <v>3938</v>
      </c>
      <c r="N1" t="s">
        <v>3939</v>
      </c>
      <c r="O1" t="s">
        <v>3940</v>
      </c>
      <c r="P1" t="s">
        <v>3941</v>
      </c>
      <c r="Q1" t="s">
        <v>3942</v>
      </c>
      <c r="R1" t="s">
        <v>3943</v>
      </c>
      <c r="S1" t="s">
        <v>3944</v>
      </c>
      <c r="T1" t="s">
        <v>3945</v>
      </c>
      <c r="U1" t="s">
        <v>3946</v>
      </c>
      <c r="V1" t="s">
        <v>3947</v>
      </c>
      <c r="W1" t="s">
        <v>3948</v>
      </c>
      <c r="X1" t="s">
        <v>3949</v>
      </c>
      <c r="Y1" t="s">
        <v>3950</v>
      </c>
      <c r="Z1" t="s">
        <v>3951</v>
      </c>
      <c r="AA1" t="s">
        <v>3952</v>
      </c>
      <c r="AB1" t="s">
        <v>3953</v>
      </c>
      <c r="AC1" t="s">
        <v>3954</v>
      </c>
      <c r="AD1" t="s">
        <v>3955</v>
      </c>
      <c r="AE1" t="s">
        <v>3956</v>
      </c>
      <c r="AF1" t="s">
        <v>3957</v>
      </c>
      <c r="AG1" t="s">
        <v>3958</v>
      </c>
      <c r="AH1" t="s">
        <v>3959</v>
      </c>
      <c r="AI1" t="s">
        <v>3960</v>
      </c>
      <c r="AJ1" t="s">
        <v>3961</v>
      </c>
      <c r="AK1" t="s">
        <v>3962</v>
      </c>
      <c r="AL1" t="s">
        <v>3963</v>
      </c>
      <c r="AM1" t="s">
        <v>3964</v>
      </c>
      <c r="AN1" t="s">
        <v>3965</v>
      </c>
      <c r="AO1" t="s">
        <v>3966</v>
      </c>
      <c r="AP1" t="s">
        <v>3967</v>
      </c>
      <c r="AQ1" t="s">
        <v>3968</v>
      </c>
      <c r="AR1" t="s">
        <v>3969</v>
      </c>
      <c r="AS1" t="s">
        <v>3970</v>
      </c>
      <c r="AT1" t="s">
        <v>3971</v>
      </c>
      <c r="AU1" t="s">
        <v>3972</v>
      </c>
      <c r="AV1" t="s">
        <v>3973</v>
      </c>
      <c r="AW1" t="s">
        <v>3974</v>
      </c>
      <c r="AX1" t="s">
        <v>3975</v>
      </c>
      <c r="AY1" t="s">
        <v>3976</v>
      </c>
      <c r="AZ1" t="s">
        <v>3977</v>
      </c>
      <c r="BA1" t="s">
        <v>3978</v>
      </c>
      <c r="BB1" t="s">
        <v>3979</v>
      </c>
      <c r="BC1" t="s">
        <v>3980</v>
      </c>
      <c r="BD1" t="s">
        <v>3981</v>
      </c>
      <c r="BE1" t="s">
        <v>3982</v>
      </c>
      <c r="BF1" t="s">
        <v>3983</v>
      </c>
      <c r="BG1" t="s">
        <v>3984</v>
      </c>
      <c r="BH1" t="s">
        <v>3985</v>
      </c>
      <c r="BI1" t="s">
        <v>3986</v>
      </c>
      <c r="BJ1" t="s">
        <v>3987</v>
      </c>
      <c r="BK1" t="s">
        <v>3988</v>
      </c>
      <c r="BL1" t="s">
        <v>3989</v>
      </c>
      <c r="BM1" t="s">
        <v>3990</v>
      </c>
      <c r="BN1" t="s">
        <v>3991</v>
      </c>
      <c r="BO1" t="s">
        <v>3992</v>
      </c>
      <c r="BP1" t="s">
        <v>3993</v>
      </c>
      <c r="BQ1" t="s">
        <v>3994</v>
      </c>
      <c r="BR1" t="s">
        <v>3995</v>
      </c>
      <c r="BS1" t="s">
        <v>3996</v>
      </c>
      <c r="BT1" t="s">
        <v>3997</v>
      </c>
      <c r="BU1" t="s">
        <v>3998</v>
      </c>
      <c r="BV1" t="s">
        <v>3999</v>
      </c>
      <c r="BW1" t="s">
        <v>4000</v>
      </c>
      <c r="BX1" t="s">
        <v>4001</v>
      </c>
      <c r="BY1" t="s">
        <v>4002</v>
      </c>
      <c r="BZ1" t="s">
        <v>4003</v>
      </c>
      <c r="CA1" t="s">
        <v>4004</v>
      </c>
      <c r="CB1" t="s">
        <v>4005</v>
      </c>
      <c r="CC1" t="s">
        <v>4006</v>
      </c>
      <c r="CD1" t="s">
        <v>4007</v>
      </c>
      <c r="CE1" t="s">
        <v>4008</v>
      </c>
      <c r="CF1" t="s">
        <v>4009</v>
      </c>
      <c r="CG1" t="s">
        <v>4010</v>
      </c>
      <c r="CH1" t="s">
        <v>4011</v>
      </c>
      <c r="CI1" t="s">
        <v>4012</v>
      </c>
      <c r="CJ1" t="s">
        <v>4013</v>
      </c>
      <c r="CK1" t="s">
        <v>4014</v>
      </c>
      <c r="CL1" t="s">
        <v>4015</v>
      </c>
      <c r="CM1" t="s">
        <v>4016</v>
      </c>
      <c r="CN1" t="s">
        <v>4017</v>
      </c>
      <c r="CO1" t="s">
        <v>4018</v>
      </c>
      <c r="CP1" t="s">
        <v>4019</v>
      </c>
      <c r="CQ1" t="s">
        <v>4020</v>
      </c>
      <c r="CR1" t="s">
        <v>4021</v>
      </c>
      <c r="CS1" t="s">
        <v>4022</v>
      </c>
      <c r="CT1" t="s">
        <v>4023</v>
      </c>
      <c r="CU1" t="s">
        <v>4024</v>
      </c>
      <c r="CV1" t="s">
        <v>4025</v>
      </c>
      <c r="CW1" t="s">
        <v>4026</v>
      </c>
      <c r="CX1" t="s">
        <v>4027</v>
      </c>
      <c r="CY1" t="s">
        <v>4028</v>
      </c>
      <c r="CZ1" t="s">
        <v>4029</v>
      </c>
      <c r="DA1" t="s">
        <v>4030</v>
      </c>
      <c r="DB1" t="s">
        <v>4031</v>
      </c>
      <c r="DC1" t="s">
        <v>4032</v>
      </c>
      <c r="DD1" t="s">
        <v>4033</v>
      </c>
      <c r="DE1" t="s">
        <v>4034</v>
      </c>
      <c r="DF1" t="s">
        <v>4035</v>
      </c>
      <c r="DG1" t="s">
        <v>4036</v>
      </c>
      <c r="DH1" t="s">
        <v>4037</v>
      </c>
      <c r="DI1" t="s">
        <v>4038</v>
      </c>
      <c r="DJ1" t="s">
        <v>4039</v>
      </c>
      <c r="DK1" t="s">
        <v>4040</v>
      </c>
      <c r="DL1" t="s">
        <v>4041</v>
      </c>
      <c r="DM1" t="s">
        <v>4042</v>
      </c>
      <c r="DN1" t="s">
        <v>4043</v>
      </c>
      <c r="DO1" t="s">
        <v>4044</v>
      </c>
      <c r="DP1" t="s">
        <v>4045</v>
      </c>
      <c r="DQ1" t="s">
        <v>4046</v>
      </c>
      <c r="DR1" t="s">
        <v>4047</v>
      </c>
      <c r="DS1" t="s">
        <v>4048</v>
      </c>
      <c r="DT1" t="s">
        <v>4049</v>
      </c>
      <c r="DU1" t="s">
        <v>4050</v>
      </c>
      <c r="DV1" t="s">
        <v>4051</v>
      </c>
      <c r="DW1" t="s">
        <v>4052</v>
      </c>
      <c r="DX1" t="s">
        <v>4053</v>
      </c>
      <c r="DY1" t="s">
        <v>4054</v>
      </c>
      <c r="DZ1" t="s">
        <v>4055</v>
      </c>
      <c r="EA1" t="s">
        <v>4056</v>
      </c>
      <c r="EB1" t="s">
        <v>4057</v>
      </c>
      <c r="EC1" t="s">
        <v>4058</v>
      </c>
      <c r="ED1" t="s">
        <v>4059</v>
      </c>
      <c r="EE1" t="s">
        <v>4060</v>
      </c>
      <c r="EF1" t="s">
        <v>4061</v>
      </c>
      <c r="EG1" t="s">
        <v>4062</v>
      </c>
      <c r="EH1" t="s">
        <v>4063</v>
      </c>
      <c r="EI1" t="s">
        <v>4064</v>
      </c>
      <c r="EJ1" t="s">
        <v>4065</v>
      </c>
      <c r="EK1" t="s">
        <v>4066</v>
      </c>
      <c r="EL1" t="s">
        <v>4067</v>
      </c>
      <c r="EM1" t="s">
        <v>4068</v>
      </c>
      <c r="EN1" t="s">
        <v>4069</v>
      </c>
      <c r="EO1" t="s">
        <v>4070</v>
      </c>
      <c r="EP1" t="s">
        <v>4071</v>
      </c>
      <c r="EQ1" t="s">
        <v>4072</v>
      </c>
      <c r="ER1" t="s">
        <v>4073</v>
      </c>
      <c r="ES1" t="s">
        <v>4074</v>
      </c>
      <c r="ET1" t="s">
        <v>4075</v>
      </c>
      <c r="EU1" t="s">
        <v>4076</v>
      </c>
      <c r="EV1" t="s">
        <v>4077</v>
      </c>
      <c r="EW1" t="s">
        <v>4078</v>
      </c>
      <c r="EX1" t="s">
        <v>4079</v>
      </c>
      <c r="EY1" t="s">
        <v>4080</v>
      </c>
      <c r="EZ1" t="s">
        <v>4081</v>
      </c>
      <c r="FA1" t="s">
        <v>4082</v>
      </c>
      <c r="FB1" t="s">
        <v>4083</v>
      </c>
      <c r="FC1" t="s">
        <v>4084</v>
      </c>
      <c r="FD1" t="s">
        <v>4085</v>
      </c>
      <c r="FE1" t="s">
        <v>4086</v>
      </c>
      <c r="FF1" t="s">
        <v>4087</v>
      </c>
      <c r="FG1" t="s">
        <v>4088</v>
      </c>
      <c r="FH1" t="s">
        <v>4089</v>
      </c>
    </row>
    <row r="2" spans="1:164">
      <c r="A2" s="617" t="s">
        <v>4090</v>
      </c>
      <c r="B2" s="617" t="s">
        <v>4091</v>
      </c>
      <c r="C2" s="617" t="s">
        <v>1984</v>
      </c>
      <c r="D2" s="617" t="s">
        <v>1985</v>
      </c>
      <c r="E2" s="617" t="s">
        <v>1986</v>
      </c>
      <c r="F2" s="617" t="s">
        <v>1987</v>
      </c>
      <c r="G2" s="617" t="s">
        <v>1988</v>
      </c>
      <c r="H2" s="617" t="s">
        <v>1989</v>
      </c>
      <c r="I2" s="617" t="s">
        <v>1990</v>
      </c>
      <c r="J2" s="617" t="s">
        <v>1991</v>
      </c>
      <c r="K2" s="617" t="s">
        <v>1992</v>
      </c>
      <c r="L2" s="617" t="s">
        <v>1993</v>
      </c>
      <c r="M2" s="617" t="s">
        <v>1994</v>
      </c>
      <c r="N2" s="617" t="s">
        <v>1995</v>
      </c>
      <c r="O2" s="617" t="s">
        <v>1996</v>
      </c>
      <c r="P2" s="617" t="s">
        <v>1997</v>
      </c>
      <c r="Q2" s="617" t="s">
        <v>1998</v>
      </c>
      <c r="R2" s="617" t="s">
        <v>1999</v>
      </c>
      <c r="S2" s="617" t="s">
        <v>2000</v>
      </c>
      <c r="T2" s="617" t="s">
        <v>2001</v>
      </c>
      <c r="U2" s="617" t="s">
        <v>2002</v>
      </c>
      <c r="V2" s="617" t="s">
        <v>2003</v>
      </c>
      <c r="W2" s="617" t="s">
        <v>2004</v>
      </c>
      <c r="X2" s="617" t="s">
        <v>2005</v>
      </c>
      <c r="Y2" s="617" t="s">
        <v>2006</v>
      </c>
      <c r="Z2" s="617" t="s">
        <v>2007</v>
      </c>
      <c r="AA2" s="617" t="s">
        <v>2008</v>
      </c>
      <c r="AB2" s="617" t="s">
        <v>2009</v>
      </c>
      <c r="AC2" s="617" t="s">
        <v>2010</v>
      </c>
      <c r="AD2" s="617" t="s">
        <v>2011</v>
      </c>
      <c r="AE2" s="617" t="s">
        <v>2012</v>
      </c>
      <c r="AF2" s="617" t="s">
        <v>2013</v>
      </c>
      <c r="AG2" s="617" t="s">
        <v>2014</v>
      </c>
      <c r="AH2" s="617" t="s">
        <v>2015</v>
      </c>
      <c r="AI2" s="617" t="s">
        <v>2016</v>
      </c>
      <c r="AJ2" s="617" t="s">
        <v>2017</v>
      </c>
      <c r="AK2" s="617" t="s">
        <v>2018</v>
      </c>
      <c r="AL2" s="617" t="s">
        <v>2019</v>
      </c>
      <c r="AM2" s="617" t="s">
        <v>2020</v>
      </c>
      <c r="AN2" s="617" t="s">
        <v>2021</v>
      </c>
      <c r="AO2" s="617" t="s">
        <v>2022</v>
      </c>
      <c r="AP2" s="617" t="s">
        <v>2023</v>
      </c>
      <c r="AQ2" s="617" t="s">
        <v>2024</v>
      </c>
      <c r="AR2" s="617" t="s">
        <v>2025</v>
      </c>
      <c r="AS2" s="617" t="s">
        <v>2026</v>
      </c>
      <c r="AT2" s="617" t="s">
        <v>2027</v>
      </c>
      <c r="AU2" s="617" t="s">
        <v>2028</v>
      </c>
      <c r="AV2" s="617" t="s">
        <v>2029</v>
      </c>
      <c r="AW2" s="617" t="s">
        <v>2030</v>
      </c>
      <c r="AX2" s="617" t="s">
        <v>2031</v>
      </c>
      <c r="AY2" s="617" t="s">
        <v>2032</v>
      </c>
      <c r="AZ2" s="617" t="s">
        <v>2033</v>
      </c>
      <c r="BA2" s="617" t="s">
        <v>2034</v>
      </c>
      <c r="BB2" s="617" t="s">
        <v>2035</v>
      </c>
      <c r="BC2" s="617" t="s">
        <v>2036</v>
      </c>
      <c r="BD2" s="617" t="s">
        <v>2037</v>
      </c>
      <c r="BE2" s="617" t="s">
        <v>2038</v>
      </c>
      <c r="BF2" s="617" t="s">
        <v>2039</v>
      </c>
      <c r="BG2" s="617" t="s">
        <v>2040</v>
      </c>
      <c r="BH2" s="617" t="s">
        <v>2041</v>
      </c>
      <c r="BI2" s="617" t="s">
        <v>2042</v>
      </c>
      <c r="BJ2" s="617" t="s">
        <v>2043</v>
      </c>
      <c r="BK2" s="617" t="s">
        <v>2044</v>
      </c>
      <c r="BL2" s="617" t="s">
        <v>2045</v>
      </c>
      <c r="BM2" s="617" t="s">
        <v>2046</v>
      </c>
      <c r="BN2" s="617" t="s">
        <v>2047</v>
      </c>
      <c r="BO2" s="617" t="s">
        <v>2048</v>
      </c>
      <c r="BP2" s="617" t="s">
        <v>2049</v>
      </c>
      <c r="BQ2" s="617" t="s">
        <v>2050</v>
      </c>
      <c r="BR2" s="617" t="s">
        <v>2051</v>
      </c>
      <c r="BS2" s="617" t="s">
        <v>2052</v>
      </c>
      <c r="BT2" s="617" t="s">
        <v>2053</v>
      </c>
      <c r="BU2" s="617" t="s">
        <v>2054</v>
      </c>
      <c r="BV2" s="617" t="s">
        <v>2055</v>
      </c>
      <c r="BW2" s="617" t="s">
        <v>2056</v>
      </c>
      <c r="BX2" s="617" t="s">
        <v>2057</v>
      </c>
      <c r="BY2" s="617" t="s">
        <v>2058</v>
      </c>
      <c r="BZ2" s="617" t="s">
        <v>2059</v>
      </c>
      <c r="CA2" s="617" t="s">
        <v>2060</v>
      </c>
      <c r="CB2" s="617" t="s">
        <v>2061</v>
      </c>
      <c r="CC2" s="617" t="s">
        <v>2062</v>
      </c>
      <c r="CD2" s="617" t="s">
        <v>2063</v>
      </c>
      <c r="CE2" s="617" t="s">
        <v>2064</v>
      </c>
      <c r="CF2" s="617" t="s">
        <v>2065</v>
      </c>
      <c r="CG2" s="617" t="s">
        <v>2066</v>
      </c>
      <c r="CH2" s="617" t="s">
        <v>2067</v>
      </c>
      <c r="CI2" s="617" t="s">
        <v>2068</v>
      </c>
      <c r="CJ2" s="617" t="s">
        <v>2069</v>
      </c>
      <c r="CK2" s="617" t="s">
        <v>2070</v>
      </c>
      <c r="CL2" s="617" t="s">
        <v>2071</v>
      </c>
      <c r="CM2" s="617" t="s">
        <v>2072</v>
      </c>
      <c r="CN2" s="617" t="s">
        <v>2073</v>
      </c>
      <c r="CO2" s="617" t="s">
        <v>2074</v>
      </c>
      <c r="CP2" s="617" t="s">
        <v>2075</v>
      </c>
      <c r="CQ2" s="617" t="s">
        <v>2076</v>
      </c>
      <c r="CR2" s="617" t="s">
        <v>2077</v>
      </c>
      <c r="CS2" s="617" t="s">
        <v>2078</v>
      </c>
      <c r="CT2" s="617" t="s">
        <v>2079</v>
      </c>
      <c r="CU2" s="617" t="s">
        <v>2080</v>
      </c>
      <c r="CV2" s="617" t="s">
        <v>2081</v>
      </c>
      <c r="CW2" s="617" t="s">
        <v>2082</v>
      </c>
      <c r="CX2" s="617" t="s">
        <v>2083</v>
      </c>
      <c r="CY2" s="617" t="s">
        <v>2084</v>
      </c>
      <c r="CZ2" s="617" t="s">
        <v>2085</v>
      </c>
      <c r="DA2" s="617" t="s">
        <v>2086</v>
      </c>
      <c r="DB2" s="617" t="s">
        <v>2087</v>
      </c>
      <c r="DC2" s="617" t="s">
        <v>2088</v>
      </c>
      <c r="DD2" s="617" t="s">
        <v>2089</v>
      </c>
      <c r="DE2" s="617" t="s">
        <v>2090</v>
      </c>
      <c r="DF2" s="617" t="s">
        <v>2091</v>
      </c>
      <c r="DG2" s="617" t="s">
        <v>2092</v>
      </c>
      <c r="DH2" s="617" t="s">
        <v>2093</v>
      </c>
      <c r="DI2" s="617" t="s">
        <v>2094</v>
      </c>
      <c r="DJ2" s="617" t="s">
        <v>2095</v>
      </c>
      <c r="DK2" s="617" t="s">
        <v>2096</v>
      </c>
      <c r="DL2" s="617" t="s">
        <v>2097</v>
      </c>
      <c r="DM2" s="617" t="s">
        <v>2098</v>
      </c>
      <c r="DN2" s="617" t="s">
        <v>2099</v>
      </c>
      <c r="DO2" s="617" t="s">
        <v>2100</v>
      </c>
      <c r="DP2" s="617" t="s">
        <v>2101</v>
      </c>
      <c r="DQ2" s="617" t="s">
        <v>2102</v>
      </c>
      <c r="DR2" s="617" t="s">
        <v>2103</v>
      </c>
      <c r="DS2" s="617" t="s">
        <v>2104</v>
      </c>
      <c r="DT2" s="617" t="s">
        <v>2105</v>
      </c>
      <c r="DU2" s="617" t="s">
        <v>2106</v>
      </c>
      <c r="DV2" s="617" t="s">
        <v>2107</v>
      </c>
      <c r="DW2" s="617" t="s">
        <v>2108</v>
      </c>
      <c r="DX2" s="617" t="s">
        <v>2109</v>
      </c>
      <c r="DY2" s="617" t="s">
        <v>2110</v>
      </c>
      <c r="DZ2" s="617" t="s">
        <v>2111</v>
      </c>
      <c r="EA2" s="617" t="s">
        <v>2112</v>
      </c>
      <c r="EB2" s="617" t="s">
        <v>2113</v>
      </c>
      <c r="EC2" s="617" t="s">
        <v>2114</v>
      </c>
      <c r="ED2" s="617" t="s">
        <v>2115</v>
      </c>
      <c r="EE2" s="617" t="s">
        <v>2116</v>
      </c>
      <c r="EF2" s="617" t="s">
        <v>2117</v>
      </c>
      <c r="EG2" s="617" t="s">
        <v>2118</v>
      </c>
      <c r="EH2" s="617" t="s">
        <v>2119</v>
      </c>
      <c r="EI2" s="617" t="s">
        <v>2120</v>
      </c>
      <c r="EJ2" s="617" t="s">
        <v>2121</v>
      </c>
      <c r="EK2" s="617" t="s">
        <v>2122</v>
      </c>
      <c r="EL2" s="617" t="s">
        <v>2123</v>
      </c>
      <c r="EM2" s="617" t="s">
        <v>2124</v>
      </c>
      <c r="EN2" s="617" t="s">
        <v>2125</v>
      </c>
      <c r="EO2" s="617" t="s">
        <v>2126</v>
      </c>
      <c r="EP2" s="617" t="s">
        <v>2127</v>
      </c>
      <c r="EQ2" s="617" t="s">
        <v>2128</v>
      </c>
      <c r="ER2" s="617" t="s">
        <v>2129</v>
      </c>
      <c r="ES2" s="617" t="s">
        <v>2130</v>
      </c>
      <c r="ET2" s="617" t="s">
        <v>2131</v>
      </c>
      <c r="EU2" s="617" t="s">
        <v>2132</v>
      </c>
      <c r="EV2" s="617" t="s">
        <v>2133</v>
      </c>
      <c r="EW2" s="617" t="s">
        <v>2134</v>
      </c>
      <c r="EX2" s="617" t="s">
        <v>2135</v>
      </c>
      <c r="EY2" s="617" t="s">
        <v>2136</v>
      </c>
      <c r="EZ2" s="617" t="s">
        <v>2137</v>
      </c>
      <c r="FA2" s="617" t="s">
        <v>2138</v>
      </c>
      <c r="FB2" s="617" t="s">
        <v>2139</v>
      </c>
      <c r="FC2" s="617" t="s">
        <v>2140</v>
      </c>
      <c r="FD2" s="617" t="s">
        <v>2141</v>
      </c>
      <c r="FE2" s="617" t="s">
        <v>2142</v>
      </c>
      <c r="FF2" s="617" t="s">
        <v>2143</v>
      </c>
      <c r="FG2" s="617" t="s">
        <v>2144</v>
      </c>
      <c r="FH2" s="617" t="s">
        <v>2145</v>
      </c>
    </row>
    <row r="3" spans="1:164">
      <c r="A3" s="617" t="s">
        <v>0</v>
      </c>
      <c r="B3" s="617" t="s">
        <v>191</v>
      </c>
      <c r="C3" s="617" t="s">
        <v>192</v>
      </c>
      <c r="D3" s="617" t="s">
        <v>193</v>
      </c>
      <c r="E3" s="617"/>
      <c r="F3" s="617"/>
      <c r="G3" s="617"/>
      <c r="H3" s="617"/>
      <c r="I3" s="617"/>
      <c r="J3" s="617"/>
      <c r="K3" s="617"/>
      <c r="L3" s="617"/>
      <c r="M3" s="617"/>
      <c r="N3" s="617"/>
      <c r="O3" s="617"/>
      <c r="P3" s="617"/>
      <c r="Q3" s="617"/>
      <c r="R3" s="617"/>
      <c r="S3" s="617"/>
      <c r="T3" s="617"/>
      <c r="U3" s="617"/>
      <c r="V3" s="617"/>
      <c r="W3" s="617"/>
      <c r="X3" s="617"/>
      <c r="Y3" s="617"/>
      <c r="Z3" s="617"/>
      <c r="AA3" s="617"/>
      <c r="AB3" s="617"/>
      <c r="AC3" s="617"/>
      <c r="AD3" s="617"/>
      <c r="AE3" s="617"/>
      <c r="AF3" s="617"/>
      <c r="AG3" s="617"/>
      <c r="AH3" s="617"/>
      <c r="AI3" s="617"/>
      <c r="AJ3" s="617"/>
      <c r="AK3" s="617"/>
      <c r="AL3" s="617"/>
      <c r="AM3" s="617"/>
      <c r="AN3" s="617"/>
      <c r="AO3" s="617"/>
      <c r="AP3" s="617"/>
      <c r="AQ3" s="617"/>
      <c r="AR3" s="617"/>
      <c r="AS3" s="617"/>
      <c r="AT3" s="617"/>
      <c r="AU3" s="617"/>
      <c r="AV3" s="617"/>
      <c r="AW3" s="617"/>
      <c r="AX3" s="617"/>
      <c r="AY3" s="617"/>
      <c r="AZ3" s="617"/>
      <c r="BA3" s="617"/>
      <c r="BB3" s="617"/>
      <c r="BC3" s="617"/>
      <c r="BD3" s="617"/>
      <c r="BE3" s="617"/>
      <c r="BF3" s="617"/>
      <c r="BG3" s="617"/>
      <c r="BH3" s="617"/>
      <c r="BI3" s="617"/>
      <c r="BJ3" s="617"/>
      <c r="BK3" s="617"/>
      <c r="BL3" s="617"/>
      <c r="BM3" s="617"/>
      <c r="BN3" s="617"/>
      <c r="BO3" s="617"/>
      <c r="BP3" s="617"/>
      <c r="BQ3" s="617"/>
      <c r="BR3" s="617"/>
      <c r="BS3" s="617"/>
      <c r="BT3" s="617"/>
      <c r="BU3" s="617"/>
      <c r="BV3" s="617"/>
      <c r="BW3" s="617"/>
      <c r="BX3" s="617"/>
      <c r="BY3" s="617"/>
      <c r="BZ3" s="617"/>
      <c r="CA3" s="617"/>
      <c r="CB3" s="617"/>
      <c r="CC3" s="617"/>
      <c r="CD3" s="617"/>
      <c r="CE3" s="617"/>
      <c r="CF3" s="617"/>
      <c r="CG3" s="617"/>
      <c r="CH3" s="617"/>
      <c r="CI3" s="617"/>
      <c r="CJ3" s="617"/>
      <c r="CK3" s="617"/>
      <c r="CL3" s="617"/>
      <c r="CM3" s="617"/>
      <c r="CN3" s="617"/>
      <c r="CO3" s="617"/>
      <c r="CP3" s="617"/>
      <c r="CQ3" s="617"/>
      <c r="CR3" s="617"/>
      <c r="CS3" s="617"/>
      <c r="CT3" s="617"/>
      <c r="CU3" s="617"/>
      <c r="CV3" s="617"/>
      <c r="CW3" s="617"/>
      <c r="CX3" s="617"/>
      <c r="CY3" s="617"/>
      <c r="CZ3" s="617"/>
      <c r="DA3" s="617"/>
      <c r="DB3" s="617"/>
      <c r="DC3" s="617"/>
      <c r="DD3" s="617"/>
      <c r="DE3" s="617"/>
      <c r="DF3" s="617"/>
      <c r="DG3" s="617"/>
      <c r="DH3" s="617"/>
      <c r="DI3" s="617"/>
      <c r="DJ3" s="617"/>
      <c r="DK3" s="617"/>
      <c r="DL3" s="617"/>
      <c r="DM3" s="617"/>
      <c r="DN3" s="617"/>
      <c r="DO3" s="617"/>
      <c r="DP3" s="617"/>
      <c r="DQ3" s="617"/>
      <c r="DR3" s="617"/>
      <c r="DS3" s="617"/>
      <c r="DT3" s="617"/>
      <c r="DU3" s="617"/>
      <c r="DV3" s="617"/>
      <c r="DW3" s="617"/>
      <c r="DX3" s="617"/>
      <c r="DY3" s="617"/>
      <c r="DZ3" s="617"/>
      <c r="EA3" s="617"/>
      <c r="EB3" s="617"/>
      <c r="EC3" s="617"/>
      <c r="ED3" s="617"/>
      <c r="EE3" s="617"/>
      <c r="EF3" s="617"/>
      <c r="EG3" s="617"/>
      <c r="EH3" s="617"/>
      <c r="EI3" s="617"/>
      <c r="EJ3" s="617"/>
      <c r="EK3" s="617"/>
      <c r="EL3" s="617"/>
      <c r="EM3" s="617"/>
      <c r="EN3" s="617"/>
      <c r="EO3" s="617"/>
      <c r="EP3" s="617"/>
      <c r="EQ3" s="617"/>
      <c r="ER3" s="617"/>
      <c r="ES3" s="617"/>
      <c r="ET3" s="617"/>
      <c r="EU3" s="617"/>
      <c r="EV3" s="617"/>
      <c r="EW3" s="617"/>
      <c r="EX3" s="617"/>
      <c r="EY3" s="617"/>
      <c r="EZ3" s="617"/>
      <c r="FA3" s="617"/>
      <c r="FB3" s="617"/>
      <c r="FC3" s="617"/>
      <c r="FD3" s="617"/>
      <c r="FE3" s="617"/>
      <c r="FF3" s="617"/>
      <c r="FG3" s="617"/>
      <c r="FH3" s="617"/>
    </row>
    <row r="4" spans="1:164">
      <c r="A4" s="617" t="s">
        <v>4092</v>
      </c>
      <c r="B4" s="617" t="s">
        <v>194</v>
      </c>
      <c r="C4" s="617" t="s">
        <v>195</v>
      </c>
      <c r="D4" s="617" t="s">
        <v>196</v>
      </c>
      <c r="E4" s="617" t="s">
        <v>197</v>
      </c>
      <c r="F4" s="617" t="s">
        <v>198</v>
      </c>
      <c r="G4" s="617" t="s">
        <v>2146</v>
      </c>
      <c r="H4" s="617" t="s">
        <v>2147</v>
      </c>
      <c r="I4" s="617" t="s">
        <v>2148</v>
      </c>
      <c r="J4" s="617" t="s">
        <v>2149</v>
      </c>
      <c r="K4" s="617" t="s">
        <v>2150</v>
      </c>
      <c r="L4" s="617"/>
      <c r="M4" s="617"/>
      <c r="N4" s="617"/>
      <c r="O4" s="617"/>
      <c r="P4" s="617"/>
      <c r="Q4" s="617"/>
      <c r="R4" s="617"/>
      <c r="S4" s="617"/>
      <c r="T4" s="617"/>
      <c r="U4" s="617"/>
      <c r="V4" s="617"/>
      <c r="W4" s="617"/>
      <c r="X4" s="617"/>
      <c r="Y4" s="617"/>
      <c r="Z4" s="617"/>
      <c r="AA4" s="617"/>
      <c r="AB4" s="617"/>
      <c r="AC4" s="617"/>
      <c r="AD4" s="617"/>
      <c r="AE4" s="617"/>
      <c r="AF4" s="617"/>
      <c r="AG4" s="617"/>
      <c r="AH4" s="617"/>
      <c r="AI4" s="617"/>
      <c r="AJ4" s="617"/>
      <c r="AK4" s="617"/>
      <c r="AL4" s="617"/>
      <c r="AM4" s="617"/>
      <c r="AN4" s="617"/>
      <c r="AO4" s="617"/>
      <c r="AP4" s="617"/>
      <c r="AQ4" s="617"/>
      <c r="AR4" s="617"/>
      <c r="AS4" s="617"/>
      <c r="AT4" s="617"/>
      <c r="AU4" s="617"/>
      <c r="AV4" s="617"/>
      <c r="AW4" s="617"/>
      <c r="AX4" s="617"/>
      <c r="AY4" s="617"/>
      <c r="AZ4" s="617"/>
      <c r="BA4" s="617"/>
      <c r="BB4" s="617"/>
      <c r="BC4" s="617"/>
      <c r="BD4" s="617"/>
      <c r="BE4" s="617"/>
      <c r="BF4" s="617"/>
      <c r="BG4" s="617"/>
      <c r="BH4" s="617"/>
      <c r="BI4" s="617"/>
      <c r="BJ4" s="617"/>
      <c r="BK4" s="617"/>
      <c r="BL4" s="617"/>
      <c r="BM4" s="617"/>
      <c r="BN4" s="617"/>
      <c r="BO4" s="617"/>
      <c r="BP4" s="617"/>
      <c r="BQ4" s="617"/>
      <c r="BR4" s="617"/>
      <c r="BS4" s="617"/>
      <c r="BT4" s="617"/>
      <c r="BU4" s="617"/>
      <c r="BV4" s="617"/>
      <c r="BW4" s="617"/>
      <c r="BX4" s="617"/>
      <c r="BY4" s="617"/>
      <c r="BZ4" s="617"/>
      <c r="CA4" s="617"/>
      <c r="CB4" s="617"/>
      <c r="CC4" s="617"/>
      <c r="CD4" s="617"/>
      <c r="CE4" s="617"/>
      <c r="CF4" s="617"/>
      <c r="CG4" s="617"/>
      <c r="CH4" s="617"/>
      <c r="CI4" s="617"/>
      <c r="CJ4" s="617"/>
      <c r="CK4" s="617"/>
      <c r="CL4" s="617"/>
      <c r="CM4" s="617"/>
      <c r="CN4" s="617"/>
      <c r="CO4" s="617"/>
      <c r="CP4" s="617"/>
      <c r="CQ4" s="617"/>
      <c r="CR4" s="617"/>
      <c r="CS4" s="617"/>
      <c r="CT4" s="617"/>
      <c r="CU4" s="617"/>
      <c r="CV4" s="617"/>
      <c r="CW4" s="617"/>
      <c r="CX4" s="617"/>
      <c r="CY4" s="617"/>
      <c r="CZ4" s="617"/>
      <c r="DA4" s="617"/>
      <c r="DB4" s="617"/>
      <c r="DC4" s="617"/>
      <c r="DD4" s="617"/>
      <c r="DE4" s="617"/>
      <c r="DF4" s="617"/>
      <c r="DG4" s="617"/>
      <c r="DH4" s="617"/>
      <c r="DI4" s="617"/>
      <c r="DJ4" s="617"/>
      <c r="DK4" s="617"/>
      <c r="DL4" s="617"/>
      <c r="DM4" s="617"/>
      <c r="DN4" s="617"/>
      <c r="DO4" s="617"/>
      <c r="DP4" s="617"/>
      <c r="DQ4" s="617"/>
      <c r="DR4" s="617"/>
      <c r="DS4" s="617"/>
      <c r="DT4" s="617"/>
      <c r="DU4" s="617"/>
      <c r="DV4" s="617"/>
      <c r="DW4" s="617"/>
      <c r="DX4" s="617"/>
      <c r="DY4" s="617"/>
      <c r="DZ4" s="617"/>
      <c r="EA4" s="617"/>
      <c r="EB4" s="617"/>
      <c r="EC4" s="617"/>
      <c r="ED4" s="617"/>
      <c r="EE4" s="617"/>
      <c r="EF4" s="617"/>
      <c r="EG4" s="617"/>
      <c r="EH4" s="617"/>
      <c r="EI4" s="617"/>
      <c r="EJ4" s="617"/>
      <c r="EK4" s="617"/>
      <c r="EL4" s="617"/>
      <c r="EM4" s="617"/>
      <c r="EN4" s="617"/>
      <c r="EO4" s="617"/>
      <c r="EP4" s="617"/>
      <c r="EQ4" s="617"/>
      <c r="ER4" s="617"/>
      <c r="ES4" s="617"/>
      <c r="ET4" s="617"/>
      <c r="EU4" s="617"/>
      <c r="EV4" s="617"/>
      <c r="EW4" s="617"/>
      <c r="EX4" s="617"/>
      <c r="EY4" s="617"/>
      <c r="EZ4" s="617"/>
      <c r="FA4" s="617"/>
      <c r="FB4" s="617"/>
      <c r="FC4" s="617"/>
      <c r="FD4" s="617"/>
      <c r="FE4" s="617"/>
      <c r="FF4" s="617"/>
      <c r="FG4" s="617"/>
      <c r="FH4" s="617"/>
    </row>
    <row r="5" spans="1:164">
      <c r="A5" s="617" t="s">
        <v>4093</v>
      </c>
      <c r="B5" s="617" t="s">
        <v>201</v>
      </c>
      <c r="C5" s="617" t="s">
        <v>1791</v>
      </c>
      <c r="D5" s="617" t="s">
        <v>4094</v>
      </c>
      <c r="E5" s="617" t="s">
        <v>420</v>
      </c>
      <c r="F5" s="617" t="s">
        <v>2374</v>
      </c>
      <c r="G5" s="617" t="s">
        <v>2375</v>
      </c>
      <c r="H5" s="617" t="s">
        <v>2376</v>
      </c>
      <c r="I5" s="617"/>
      <c r="J5" s="617"/>
      <c r="K5" s="617"/>
      <c r="L5" s="617"/>
      <c r="M5" s="617"/>
      <c r="N5" s="617"/>
      <c r="O5" s="617"/>
      <c r="P5" s="617"/>
      <c r="Q5" s="617"/>
      <c r="R5" s="617"/>
      <c r="S5" s="617"/>
      <c r="T5" s="617"/>
      <c r="U5" s="617"/>
      <c r="V5" s="617"/>
      <c r="W5" s="617"/>
      <c r="X5" s="617"/>
      <c r="Y5" s="617"/>
      <c r="Z5" s="617"/>
      <c r="AA5" s="617"/>
      <c r="AB5" s="617"/>
      <c r="AC5" s="617"/>
      <c r="AD5" s="617"/>
      <c r="AE5" s="617"/>
      <c r="AF5" s="617"/>
      <c r="AG5" s="617"/>
      <c r="AH5" s="617"/>
      <c r="AI5" s="617"/>
      <c r="AJ5" s="617"/>
      <c r="AK5" s="617"/>
      <c r="AL5" s="617"/>
      <c r="AM5" s="617"/>
      <c r="AN5" s="617"/>
      <c r="AO5" s="617"/>
      <c r="AP5" s="617"/>
      <c r="AQ5" s="617"/>
      <c r="AR5" s="617"/>
      <c r="AS5" s="617"/>
      <c r="AT5" s="617"/>
      <c r="AU5" s="617"/>
      <c r="AV5" s="617"/>
      <c r="AW5" s="617"/>
      <c r="AX5" s="617"/>
      <c r="AY5" s="617"/>
      <c r="AZ5" s="617"/>
      <c r="BA5" s="617"/>
      <c r="BB5" s="617"/>
      <c r="BC5" s="617"/>
      <c r="BD5" s="617"/>
      <c r="BE5" s="617"/>
      <c r="BF5" s="617"/>
      <c r="BG5" s="617"/>
      <c r="BH5" s="617"/>
      <c r="BI5" s="617"/>
      <c r="BJ5" s="617"/>
      <c r="BK5" s="617"/>
      <c r="BL5" s="617"/>
      <c r="BM5" s="617"/>
      <c r="BN5" s="617"/>
      <c r="BO5" s="617"/>
      <c r="BP5" s="617"/>
      <c r="BQ5" s="617"/>
      <c r="BR5" s="617"/>
      <c r="BS5" s="617"/>
      <c r="BT5" s="617"/>
      <c r="BU5" s="617"/>
      <c r="BV5" s="617"/>
      <c r="BW5" s="617"/>
      <c r="BX5" s="617"/>
      <c r="BY5" s="617"/>
      <c r="BZ5" s="617"/>
      <c r="CA5" s="617"/>
      <c r="CB5" s="617"/>
      <c r="CC5" s="617"/>
      <c r="CD5" s="617"/>
      <c r="CE5" s="617"/>
      <c r="CF5" s="617"/>
      <c r="CG5" s="617"/>
      <c r="CH5" s="617"/>
      <c r="CI5" s="617"/>
      <c r="CJ5" s="617"/>
      <c r="CK5" s="617"/>
      <c r="CL5" s="617"/>
      <c r="CM5" s="617"/>
      <c r="CN5" s="617"/>
      <c r="CO5" s="617"/>
      <c r="CP5" s="617"/>
      <c r="CQ5" s="617"/>
      <c r="CR5" s="617"/>
      <c r="CS5" s="617"/>
      <c r="CT5" s="617"/>
      <c r="CU5" s="617"/>
      <c r="CV5" s="617"/>
      <c r="CW5" s="617"/>
      <c r="CX5" s="617"/>
      <c r="CY5" s="617"/>
      <c r="CZ5" s="617"/>
      <c r="DA5" s="617"/>
      <c r="DB5" s="617"/>
      <c r="DC5" s="617"/>
      <c r="DD5" s="617"/>
      <c r="DE5" s="617"/>
      <c r="DF5" s="617"/>
      <c r="DG5" s="617"/>
      <c r="DH5" s="617"/>
      <c r="DI5" s="617"/>
      <c r="DJ5" s="617"/>
      <c r="DK5" s="617"/>
      <c r="DL5" s="617"/>
      <c r="DM5" s="617"/>
      <c r="DN5" s="617"/>
      <c r="DO5" s="617"/>
      <c r="DP5" s="617"/>
      <c r="DQ5" s="617"/>
      <c r="DR5" s="617"/>
      <c r="DS5" s="617"/>
      <c r="DT5" s="617"/>
      <c r="DU5" s="617"/>
      <c r="DV5" s="617"/>
      <c r="DW5" s="617"/>
      <c r="DX5" s="617"/>
      <c r="DY5" s="617"/>
      <c r="DZ5" s="617"/>
      <c r="EA5" s="617"/>
      <c r="EB5" s="617"/>
      <c r="EC5" s="617"/>
      <c r="ED5" s="617"/>
      <c r="EE5" s="617"/>
      <c r="EF5" s="617"/>
      <c r="EG5" s="617"/>
      <c r="EH5" s="617"/>
      <c r="EI5" s="617"/>
      <c r="EJ5" s="617"/>
      <c r="EK5" s="617"/>
      <c r="EL5" s="617"/>
      <c r="EM5" s="617"/>
      <c r="EN5" s="617"/>
      <c r="EO5" s="617"/>
      <c r="EP5" s="617"/>
      <c r="EQ5" s="617"/>
      <c r="ER5" s="617"/>
      <c r="ES5" s="617"/>
      <c r="ET5" s="617"/>
      <c r="EU5" s="617"/>
      <c r="EV5" s="617"/>
      <c r="EW5" s="617"/>
      <c r="EX5" s="617"/>
      <c r="EY5" s="617"/>
      <c r="EZ5" s="617"/>
      <c r="FA5" s="617"/>
      <c r="FB5" s="617"/>
      <c r="FC5" s="617"/>
      <c r="FD5" s="617"/>
      <c r="FE5" s="617"/>
      <c r="FF5" s="617"/>
      <c r="FG5" s="617"/>
      <c r="FH5" s="617"/>
    </row>
    <row r="6" spans="1:164">
      <c r="A6" s="617" t="s">
        <v>4095</v>
      </c>
      <c r="B6" s="617" t="s">
        <v>5</v>
      </c>
      <c r="C6" s="617" t="s">
        <v>4096</v>
      </c>
      <c r="D6" s="617"/>
      <c r="E6" s="617"/>
      <c r="F6" s="617"/>
      <c r="G6" s="617"/>
      <c r="H6" s="617"/>
      <c r="I6" s="617"/>
      <c r="J6" s="617"/>
      <c r="K6" s="617"/>
      <c r="L6" s="617"/>
      <c r="M6" s="617"/>
      <c r="N6" s="617"/>
      <c r="O6" s="617"/>
      <c r="P6" s="617"/>
      <c r="Q6" s="617"/>
      <c r="R6" s="617"/>
      <c r="S6" s="617"/>
      <c r="T6" s="617"/>
      <c r="U6" s="617"/>
      <c r="V6" s="617"/>
      <c r="W6" s="617"/>
      <c r="X6" s="617"/>
      <c r="Y6" s="617"/>
      <c r="Z6" s="617"/>
      <c r="AA6" s="617"/>
      <c r="AB6" s="617"/>
      <c r="AC6" s="617"/>
      <c r="AD6" s="617"/>
      <c r="AE6" s="617"/>
      <c r="AF6" s="617"/>
      <c r="AG6" s="617"/>
      <c r="AH6" s="617"/>
      <c r="AI6" s="617"/>
      <c r="AJ6" s="617"/>
      <c r="AK6" s="617"/>
      <c r="AL6" s="617"/>
      <c r="AM6" s="617"/>
      <c r="AN6" s="617"/>
      <c r="AO6" s="617"/>
      <c r="AP6" s="617"/>
      <c r="AQ6" s="617"/>
      <c r="AR6" s="617"/>
      <c r="AS6" s="617"/>
      <c r="AT6" s="617"/>
      <c r="AU6" s="617"/>
      <c r="AV6" s="617"/>
      <c r="AW6" s="617"/>
      <c r="AX6" s="617"/>
      <c r="AY6" s="617"/>
      <c r="AZ6" s="617"/>
      <c r="BA6" s="617"/>
      <c r="BB6" s="617"/>
      <c r="BC6" s="617"/>
      <c r="BD6" s="617"/>
      <c r="BE6" s="617"/>
      <c r="BF6" s="617"/>
      <c r="BG6" s="617"/>
      <c r="BH6" s="617"/>
      <c r="BI6" s="617"/>
      <c r="BJ6" s="617"/>
      <c r="BK6" s="617"/>
      <c r="BL6" s="617"/>
      <c r="BM6" s="617"/>
      <c r="BN6" s="617"/>
      <c r="BO6" s="617"/>
      <c r="BP6" s="617"/>
      <c r="BQ6" s="617"/>
      <c r="BR6" s="617"/>
      <c r="BS6" s="617"/>
      <c r="BT6" s="617"/>
      <c r="BU6" s="617"/>
      <c r="BV6" s="617"/>
      <c r="BW6" s="617"/>
      <c r="BX6" s="617"/>
      <c r="BY6" s="617"/>
      <c r="BZ6" s="617"/>
      <c r="CA6" s="617"/>
      <c r="CB6" s="617"/>
      <c r="CC6" s="617"/>
      <c r="CD6" s="617"/>
      <c r="CE6" s="617"/>
      <c r="CF6" s="617"/>
      <c r="CG6" s="617"/>
      <c r="CH6" s="617"/>
      <c r="CI6" s="617"/>
      <c r="CJ6" s="617"/>
      <c r="CK6" s="617"/>
      <c r="CL6" s="617"/>
      <c r="CM6" s="617"/>
      <c r="CN6" s="617"/>
      <c r="CO6" s="617"/>
      <c r="CP6" s="617"/>
      <c r="CQ6" s="617"/>
      <c r="CR6" s="617"/>
      <c r="CS6" s="617"/>
      <c r="CT6" s="617"/>
      <c r="CU6" s="617"/>
      <c r="CV6" s="617"/>
      <c r="CW6" s="617"/>
      <c r="CX6" s="617"/>
      <c r="CY6" s="617"/>
      <c r="CZ6" s="617"/>
      <c r="DA6" s="617"/>
      <c r="DB6" s="617"/>
      <c r="DC6" s="617"/>
      <c r="DD6" s="617"/>
      <c r="DE6" s="617"/>
      <c r="DF6" s="617"/>
      <c r="DG6" s="617"/>
      <c r="DH6" s="617"/>
      <c r="DI6" s="617"/>
      <c r="DJ6" s="617"/>
      <c r="DK6" s="617"/>
      <c r="DL6" s="617"/>
      <c r="DM6" s="617"/>
      <c r="DN6" s="617"/>
      <c r="DO6" s="617"/>
      <c r="DP6" s="617"/>
      <c r="DQ6" s="617"/>
      <c r="DR6" s="617"/>
      <c r="DS6" s="617"/>
      <c r="DT6" s="617"/>
      <c r="DU6" s="617"/>
      <c r="DV6" s="617"/>
      <c r="DW6" s="617"/>
      <c r="DX6" s="617"/>
      <c r="DY6" s="617"/>
      <c r="DZ6" s="617"/>
      <c r="EA6" s="617"/>
      <c r="EB6" s="617"/>
      <c r="EC6" s="617"/>
      <c r="ED6" s="617"/>
      <c r="EE6" s="617"/>
      <c r="EF6" s="617"/>
      <c r="EG6" s="617"/>
      <c r="EH6" s="617"/>
      <c r="EI6" s="617"/>
      <c r="EJ6" s="617"/>
      <c r="EK6" s="617"/>
      <c r="EL6" s="617"/>
      <c r="EM6" s="617"/>
      <c r="EN6" s="617"/>
      <c r="EO6" s="617"/>
      <c r="EP6" s="617"/>
      <c r="EQ6" s="617"/>
      <c r="ER6" s="617"/>
      <c r="ES6" s="617"/>
      <c r="ET6" s="617"/>
      <c r="EU6" s="617"/>
      <c r="EV6" s="617"/>
      <c r="EW6" s="617"/>
      <c r="EX6" s="617"/>
      <c r="EY6" s="617"/>
      <c r="EZ6" s="617"/>
      <c r="FA6" s="617"/>
      <c r="FB6" s="617"/>
      <c r="FC6" s="617"/>
      <c r="FD6" s="617"/>
      <c r="FE6" s="617"/>
      <c r="FF6" s="617"/>
      <c r="FG6" s="617"/>
      <c r="FH6" s="617"/>
    </row>
    <row r="7" spans="1:164">
      <c r="A7" s="617" t="s">
        <v>4097</v>
      </c>
      <c r="B7" s="617" t="s">
        <v>206</v>
      </c>
      <c r="C7" s="617" t="s">
        <v>207</v>
      </c>
      <c r="D7" s="617"/>
      <c r="E7" s="617"/>
      <c r="F7" s="617"/>
      <c r="G7" s="617"/>
      <c r="H7" s="617"/>
      <c r="I7" s="617"/>
      <c r="J7" s="617"/>
      <c r="K7" s="617"/>
      <c r="L7" s="617"/>
      <c r="M7" s="617"/>
      <c r="N7" s="617"/>
      <c r="O7" s="617"/>
      <c r="P7" s="617"/>
      <c r="Q7" s="617"/>
      <c r="R7" s="617"/>
      <c r="S7" s="617"/>
      <c r="T7" s="617"/>
      <c r="U7" s="617"/>
      <c r="V7" s="617"/>
      <c r="W7" s="617"/>
      <c r="X7" s="617"/>
      <c r="Y7" s="617"/>
      <c r="Z7" s="617"/>
      <c r="AA7" s="617"/>
      <c r="AB7" s="617"/>
      <c r="AC7" s="617"/>
      <c r="AD7" s="617"/>
      <c r="AE7" s="617"/>
      <c r="AF7" s="617"/>
      <c r="AG7" s="617"/>
      <c r="AH7" s="617"/>
      <c r="AI7" s="617"/>
      <c r="AJ7" s="617"/>
      <c r="AK7" s="617"/>
      <c r="AL7" s="617"/>
      <c r="AM7" s="617"/>
      <c r="AN7" s="617"/>
      <c r="AO7" s="617"/>
      <c r="AP7" s="617"/>
      <c r="AQ7" s="617"/>
      <c r="AR7" s="617"/>
      <c r="AS7" s="617"/>
      <c r="AT7" s="617"/>
      <c r="AU7" s="617"/>
      <c r="AV7" s="617"/>
      <c r="AW7" s="617"/>
      <c r="AX7" s="617"/>
      <c r="AY7" s="617"/>
      <c r="AZ7" s="617"/>
      <c r="BA7" s="617"/>
      <c r="BB7" s="617"/>
      <c r="BC7" s="617"/>
      <c r="BD7" s="617"/>
      <c r="BE7" s="617"/>
      <c r="BF7" s="617"/>
      <c r="BG7" s="617"/>
      <c r="BH7" s="617"/>
      <c r="BI7" s="617"/>
      <c r="BJ7" s="617"/>
      <c r="BK7" s="617"/>
      <c r="BL7" s="617"/>
      <c r="BM7" s="617"/>
      <c r="BN7" s="617"/>
      <c r="BO7" s="617"/>
      <c r="BP7" s="617"/>
      <c r="BQ7" s="617"/>
      <c r="BR7" s="617"/>
      <c r="BS7" s="617"/>
      <c r="BT7" s="617"/>
      <c r="BU7" s="617"/>
      <c r="BV7" s="617"/>
      <c r="BW7" s="617"/>
      <c r="BX7" s="617"/>
      <c r="BY7" s="617"/>
      <c r="BZ7" s="617"/>
      <c r="CA7" s="617"/>
      <c r="CB7" s="617"/>
      <c r="CC7" s="617"/>
      <c r="CD7" s="617"/>
      <c r="CE7" s="617"/>
      <c r="CF7" s="617"/>
      <c r="CG7" s="617"/>
      <c r="CH7" s="617"/>
      <c r="CI7" s="617"/>
      <c r="CJ7" s="617"/>
      <c r="CK7" s="617"/>
      <c r="CL7" s="617"/>
      <c r="CM7" s="617"/>
      <c r="CN7" s="617"/>
      <c r="CO7" s="617"/>
      <c r="CP7" s="617"/>
      <c r="CQ7" s="617"/>
      <c r="CR7" s="617"/>
      <c r="CS7" s="617"/>
      <c r="CT7" s="617"/>
      <c r="CU7" s="617"/>
      <c r="CV7" s="617"/>
      <c r="CW7" s="617"/>
      <c r="CX7" s="617"/>
      <c r="CY7" s="617"/>
      <c r="CZ7" s="617"/>
      <c r="DA7" s="617"/>
      <c r="DB7" s="617"/>
      <c r="DC7" s="617"/>
      <c r="DD7" s="617"/>
      <c r="DE7" s="617"/>
      <c r="DF7" s="617"/>
      <c r="DG7" s="617"/>
      <c r="DH7" s="617"/>
      <c r="DI7" s="617"/>
      <c r="DJ7" s="617"/>
      <c r="DK7" s="617"/>
      <c r="DL7" s="617"/>
      <c r="DM7" s="617"/>
      <c r="DN7" s="617"/>
      <c r="DO7" s="617"/>
      <c r="DP7" s="617"/>
      <c r="DQ7" s="617"/>
      <c r="DR7" s="617"/>
      <c r="DS7" s="617"/>
      <c r="DT7" s="617"/>
      <c r="DU7" s="617"/>
      <c r="DV7" s="617"/>
      <c r="DW7" s="617"/>
      <c r="DX7" s="617"/>
      <c r="DY7" s="617"/>
      <c r="DZ7" s="617"/>
      <c r="EA7" s="617"/>
      <c r="EB7" s="617"/>
      <c r="EC7" s="617"/>
      <c r="ED7" s="617"/>
      <c r="EE7" s="617"/>
      <c r="EF7" s="617"/>
      <c r="EG7" s="617"/>
      <c r="EH7" s="617"/>
      <c r="EI7" s="617"/>
      <c r="EJ7" s="617"/>
      <c r="EK7" s="617"/>
      <c r="EL7" s="617"/>
      <c r="EM7" s="617"/>
      <c r="EN7" s="617"/>
      <c r="EO7" s="617"/>
      <c r="EP7" s="617"/>
      <c r="EQ7" s="617"/>
      <c r="ER7" s="617"/>
      <c r="ES7" s="617"/>
      <c r="ET7" s="617"/>
      <c r="EU7" s="617"/>
      <c r="EV7" s="617"/>
      <c r="EW7" s="617"/>
      <c r="EX7" s="617"/>
      <c r="EY7" s="617"/>
      <c r="EZ7" s="617"/>
      <c r="FA7" s="617"/>
      <c r="FB7" s="617"/>
      <c r="FC7" s="617"/>
      <c r="FD7" s="617"/>
      <c r="FE7" s="617"/>
      <c r="FF7" s="617"/>
      <c r="FG7" s="617"/>
      <c r="FH7" s="617"/>
    </row>
    <row r="8" spans="1:164">
      <c r="A8" s="617" t="s">
        <v>4098</v>
      </c>
      <c r="B8" s="617" t="s">
        <v>240</v>
      </c>
      <c r="C8" s="617" t="s">
        <v>4807</v>
      </c>
      <c r="D8" s="617"/>
      <c r="E8" s="617"/>
      <c r="F8" s="617"/>
      <c r="G8" s="617"/>
      <c r="H8" s="617"/>
      <c r="I8" s="617"/>
      <c r="J8" s="617"/>
      <c r="K8" s="617"/>
      <c r="L8" s="617"/>
      <c r="M8" s="617"/>
      <c r="N8" s="617"/>
      <c r="O8" s="617"/>
      <c r="P8" s="617"/>
      <c r="Q8" s="617"/>
      <c r="R8" s="617"/>
      <c r="S8" s="617"/>
      <c r="T8" s="617"/>
      <c r="U8" s="617"/>
      <c r="V8" s="617"/>
      <c r="W8" s="617"/>
      <c r="X8" s="617"/>
      <c r="Y8" s="617"/>
      <c r="Z8" s="617"/>
      <c r="AA8" s="617"/>
      <c r="AB8" s="617"/>
      <c r="AC8" s="617"/>
      <c r="AD8" s="617"/>
      <c r="AE8" s="617"/>
      <c r="AF8" s="617"/>
      <c r="AG8" s="617"/>
      <c r="AH8" s="617"/>
      <c r="AI8" s="617"/>
      <c r="AJ8" s="617"/>
      <c r="AK8" s="617"/>
      <c r="AL8" s="617"/>
      <c r="AM8" s="617"/>
      <c r="AN8" s="617"/>
      <c r="AO8" s="617"/>
      <c r="AP8" s="617"/>
      <c r="AQ8" s="617"/>
      <c r="AR8" s="617"/>
      <c r="AS8" s="617"/>
      <c r="AT8" s="617"/>
      <c r="AU8" s="617"/>
      <c r="AV8" s="617"/>
      <c r="AW8" s="617"/>
      <c r="AX8" s="617"/>
      <c r="AY8" s="617"/>
      <c r="AZ8" s="617"/>
      <c r="BA8" s="617"/>
      <c r="BB8" s="617"/>
      <c r="BC8" s="617"/>
      <c r="BD8" s="617"/>
      <c r="BE8" s="617"/>
      <c r="BF8" s="617"/>
      <c r="BG8" s="617"/>
      <c r="BH8" s="617"/>
      <c r="BI8" s="617"/>
      <c r="BJ8" s="617"/>
      <c r="BK8" s="617"/>
      <c r="BL8" s="617"/>
      <c r="BM8" s="617"/>
      <c r="BN8" s="617"/>
      <c r="BO8" s="617"/>
      <c r="BP8" s="617"/>
      <c r="BQ8" s="617"/>
      <c r="BR8" s="617"/>
      <c r="BS8" s="617"/>
      <c r="BT8" s="617"/>
      <c r="BU8" s="617"/>
      <c r="BV8" s="617"/>
      <c r="BW8" s="617"/>
      <c r="BX8" s="617"/>
      <c r="BY8" s="617"/>
      <c r="BZ8" s="617"/>
      <c r="CA8" s="617"/>
      <c r="CB8" s="617"/>
      <c r="CC8" s="617"/>
      <c r="CD8" s="617"/>
      <c r="CE8" s="617"/>
      <c r="CF8" s="617"/>
      <c r="CG8" s="617"/>
      <c r="CH8" s="617"/>
      <c r="CI8" s="617"/>
      <c r="CJ8" s="617"/>
      <c r="CK8" s="617"/>
      <c r="CL8" s="617"/>
      <c r="CM8" s="617"/>
      <c r="CN8" s="617"/>
      <c r="CO8" s="617"/>
      <c r="CP8" s="617"/>
      <c r="CQ8" s="617"/>
      <c r="CR8" s="617"/>
      <c r="CS8" s="617"/>
      <c r="CT8" s="617"/>
      <c r="CU8" s="617"/>
      <c r="CV8" s="617"/>
      <c r="CW8" s="617"/>
      <c r="CX8" s="617"/>
      <c r="CY8" s="617"/>
      <c r="CZ8" s="617"/>
      <c r="DA8" s="617"/>
      <c r="DB8" s="617"/>
      <c r="DC8" s="617"/>
      <c r="DD8" s="617"/>
      <c r="DE8" s="617"/>
      <c r="DF8" s="617"/>
      <c r="DG8" s="617"/>
      <c r="DH8" s="617"/>
      <c r="DI8" s="617"/>
      <c r="DJ8" s="617"/>
      <c r="DK8" s="617"/>
      <c r="DL8" s="617"/>
      <c r="DM8" s="617"/>
      <c r="DN8" s="617"/>
      <c r="DO8" s="617"/>
      <c r="DP8" s="617"/>
      <c r="DQ8" s="617"/>
      <c r="DR8" s="617"/>
      <c r="DS8" s="617"/>
      <c r="DT8" s="617"/>
      <c r="DU8" s="617"/>
      <c r="DV8" s="617"/>
      <c r="DW8" s="617"/>
      <c r="DX8" s="617"/>
      <c r="DY8" s="617"/>
      <c r="DZ8" s="617"/>
      <c r="EA8" s="617"/>
      <c r="EB8" s="617"/>
      <c r="EC8" s="617"/>
      <c r="ED8" s="617"/>
      <c r="EE8" s="617"/>
      <c r="EF8" s="617"/>
      <c r="EG8" s="617"/>
      <c r="EH8" s="617"/>
      <c r="EI8" s="617"/>
      <c r="EJ8" s="617"/>
      <c r="EK8" s="617"/>
      <c r="EL8" s="617"/>
      <c r="EM8" s="617"/>
      <c r="EN8" s="617"/>
      <c r="EO8" s="617"/>
      <c r="EP8" s="617"/>
      <c r="EQ8" s="617"/>
      <c r="ER8" s="617"/>
      <c r="ES8" s="617"/>
      <c r="ET8" s="617"/>
      <c r="EU8" s="617"/>
      <c r="EV8" s="617"/>
      <c r="EW8" s="617"/>
      <c r="EX8" s="617"/>
      <c r="EY8" s="617"/>
      <c r="EZ8" s="617"/>
      <c r="FA8" s="617"/>
      <c r="FB8" s="617"/>
      <c r="FC8" s="617"/>
      <c r="FD8" s="617"/>
      <c r="FE8" s="617"/>
      <c r="FF8" s="617"/>
      <c r="FG8" s="617"/>
      <c r="FH8" s="617"/>
    </row>
    <row r="9" spans="1:164">
      <c r="A9" s="617" t="s">
        <v>4099</v>
      </c>
      <c r="B9" s="617" t="s">
        <v>4100</v>
      </c>
      <c r="C9" s="617" t="s">
        <v>4101</v>
      </c>
      <c r="D9" s="617" t="s">
        <v>4102</v>
      </c>
      <c r="E9" s="617"/>
      <c r="F9" s="617"/>
      <c r="G9" s="617"/>
      <c r="H9" s="617"/>
      <c r="I9" s="617"/>
      <c r="J9" s="617"/>
      <c r="K9" s="617"/>
      <c r="L9" s="617"/>
      <c r="M9" s="617"/>
      <c r="N9" s="617"/>
      <c r="O9" s="617"/>
      <c r="P9" s="617"/>
      <c r="Q9" s="617"/>
      <c r="R9" s="617"/>
      <c r="S9" s="617"/>
      <c r="T9" s="617"/>
      <c r="U9" s="617"/>
      <c r="V9" s="617"/>
      <c r="W9" s="617"/>
      <c r="X9" s="617"/>
      <c r="Y9" s="617"/>
      <c r="Z9" s="617"/>
      <c r="AA9" s="617"/>
      <c r="AB9" s="617"/>
      <c r="AC9" s="617"/>
      <c r="AD9" s="617"/>
      <c r="AE9" s="617"/>
      <c r="AF9" s="617"/>
      <c r="AG9" s="617"/>
      <c r="AH9" s="617"/>
      <c r="AI9" s="617"/>
      <c r="AJ9" s="617"/>
      <c r="AK9" s="617"/>
      <c r="AL9" s="617"/>
      <c r="AM9" s="617"/>
      <c r="AN9" s="617"/>
      <c r="AO9" s="617"/>
      <c r="AP9" s="617"/>
      <c r="AQ9" s="617"/>
      <c r="AR9" s="617"/>
      <c r="AS9" s="617"/>
      <c r="AT9" s="617"/>
      <c r="AU9" s="617"/>
      <c r="AV9" s="617"/>
      <c r="AW9" s="617"/>
      <c r="AX9" s="617"/>
      <c r="AY9" s="617"/>
      <c r="AZ9" s="617"/>
      <c r="BA9" s="617"/>
      <c r="BB9" s="617"/>
      <c r="BC9" s="617"/>
      <c r="BD9" s="617"/>
      <c r="BE9" s="617"/>
      <c r="BF9" s="617"/>
      <c r="BG9" s="617"/>
      <c r="BH9" s="617"/>
      <c r="BI9" s="617"/>
      <c r="BJ9" s="617"/>
      <c r="BK9" s="617"/>
      <c r="BL9" s="617"/>
      <c r="BM9" s="617"/>
      <c r="BN9" s="617"/>
      <c r="BO9" s="617"/>
      <c r="BP9" s="617"/>
      <c r="BQ9" s="617"/>
      <c r="BR9" s="617"/>
      <c r="BS9" s="617"/>
      <c r="BT9" s="617"/>
      <c r="BU9" s="617"/>
      <c r="BV9" s="617"/>
      <c r="BW9" s="617"/>
      <c r="BX9" s="617"/>
      <c r="BY9" s="617"/>
      <c r="BZ9" s="617"/>
      <c r="CA9" s="617"/>
      <c r="CB9" s="617"/>
      <c r="CC9" s="617"/>
      <c r="CD9" s="617"/>
      <c r="CE9" s="617"/>
      <c r="CF9" s="617"/>
      <c r="CG9" s="617"/>
      <c r="CH9" s="617"/>
      <c r="CI9" s="617"/>
      <c r="CJ9" s="617"/>
      <c r="CK9" s="617"/>
      <c r="CL9" s="617"/>
      <c r="CM9" s="617"/>
      <c r="CN9" s="617"/>
      <c r="CO9" s="617"/>
      <c r="CP9" s="617"/>
      <c r="CQ9" s="617"/>
      <c r="CR9" s="617"/>
      <c r="CS9" s="617"/>
      <c r="CT9" s="617"/>
      <c r="CU9" s="617"/>
      <c r="CV9" s="617"/>
      <c r="CW9" s="617"/>
      <c r="CX9" s="617"/>
      <c r="CY9" s="617"/>
      <c r="CZ9" s="617"/>
      <c r="DA9" s="617"/>
      <c r="DB9" s="617"/>
      <c r="DC9" s="617"/>
      <c r="DD9" s="617"/>
      <c r="DE9" s="617"/>
      <c r="DF9" s="617"/>
      <c r="DG9" s="617"/>
      <c r="DH9" s="617"/>
      <c r="DI9" s="617"/>
      <c r="DJ9" s="617"/>
      <c r="DK9" s="617"/>
      <c r="DL9" s="617"/>
      <c r="DM9" s="617"/>
      <c r="DN9" s="617"/>
      <c r="DO9" s="617"/>
      <c r="DP9" s="617"/>
      <c r="DQ9" s="617"/>
      <c r="DR9" s="617"/>
      <c r="DS9" s="617"/>
      <c r="DT9" s="617"/>
      <c r="DU9" s="617"/>
      <c r="DV9" s="617"/>
      <c r="DW9" s="617"/>
      <c r="DX9" s="617"/>
      <c r="DY9" s="617"/>
      <c r="DZ9" s="617"/>
      <c r="EA9" s="617"/>
      <c r="EB9" s="617"/>
      <c r="EC9" s="617"/>
      <c r="ED9" s="617"/>
      <c r="EE9" s="617"/>
      <c r="EF9" s="617"/>
      <c r="EG9" s="617"/>
      <c r="EH9" s="617"/>
      <c r="EI9" s="617"/>
      <c r="EJ9" s="617"/>
      <c r="EK9" s="617"/>
      <c r="EL9" s="617"/>
      <c r="EM9" s="617"/>
      <c r="EN9" s="617"/>
      <c r="EO9" s="617"/>
      <c r="EP9" s="617"/>
      <c r="EQ9" s="617"/>
      <c r="ER9" s="617"/>
      <c r="ES9" s="617"/>
      <c r="ET9" s="617"/>
      <c r="EU9" s="617"/>
      <c r="EV9" s="617"/>
      <c r="EW9" s="617"/>
      <c r="EX9" s="617"/>
      <c r="EY9" s="617"/>
      <c r="EZ9" s="617"/>
      <c r="FA9" s="617"/>
      <c r="FB9" s="617"/>
      <c r="FC9" s="617"/>
      <c r="FD9" s="617"/>
      <c r="FE9" s="617"/>
      <c r="FF9" s="617"/>
      <c r="FG9" s="617"/>
      <c r="FH9" s="617"/>
    </row>
    <row r="10" spans="1:164">
      <c r="A10" s="617" t="s">
        <v>281</v>
      </c>
      <c r="B10" s="617" t="s">
        <v>284</v>
      </c>
      <c r="C10" s="617" t="s">
        <v>285</v>
      </c>
      <c r="D10" s="617" t="s">
        <v>286</v>
      </c>
      <c r="E10" s="617" t="s">
        <v>4103</v>
      </c>
      <c r="F10" s="617" t="s">
        <v>202</v>
      </c>
      <c r="G10" s="617" t="s">
        <v>4808</v>
      </c>
      <c r="H10" s="617"/>
      <c r="I10" s="617"/>
      <c r="J10" s="617"/>
      <c r="K10" s="617"/>
      <c r="L10" s="617"/>
      <c r="M10" s="617"/>
      <c r="N10" s="617"/>
      <c r="O10" s="617"/>
      <c r="P10" s="617"/>
      <c r="Q10" s="617"/>
      <c r="R10" s="617"/>
      <c r="S10" s="617"/>
      <c r="T10" s="617"/>
      <c r="U10" s="617"/>
      <c r="V10" s="617"/>
      <c r="W10" s="617"/>
      <c r="X10" s="617"/>
      <c r="Y10" s="617"/>
      <c r="Z10" s="617"/>
      <c r="AA10" s="617"/>
      <c r="AB10" s="617"/>
      <c r="AC10" s="617"/>
      <c r="AD10" s="617"/>
      <c r="AE10" s="617"/>
      <c r="AF10" s="617"/>
      <c r="AG10" s="617"/>
      <c r="AH10" s="617"/>
      <c r="AI10" s="617"/>
      <c r="AJ10" s="617"/>
      <c r="AK10" s="617"/>
      <c r="AL10" s="617"/>
      <c r="AM10" s="617"/>
      <c r="AN10" s="617"/>
      <c r="AO10" s="617"/>
      <c r="AP10" s="617"/>
      <c r="AQ10" s="617"/>
      <c r="AR10" s="617"/>
      <c r="AS10" s="617"/>
      <c r="AT10" s="617"/>
      <c r="AU10" s="617"/>
      <c r="AV10" s="617"/>
      <c r="AW10" s="617"/>
      <c r="AX10" s="617"/>
      <c r="AY10" s="617"/>
      <c r="AZ10" s="617"/>
      <c r="BA10" s="617"/>
      <c r="BB10" s="617"/>
      <c r="BC10" s="617"/>
      <c r="BD10" s="617"/>
      <c r="BE10" s="617"/>
      <c r="BF10" s="617"/>
      <c r="BG10" s="617"/>
      <c r="BH10" s="617"/>
      <c r="BI10" s="617"/>
      <c r="BJ10" s="617"/>
      <c r="BK10" s="617"/>
      <c r="BL10" s="617"/>
      <c r="BM10" s="617"/>
      <c r="BN10" s="617"/>
      <c r="BO10" s="617"/>
      <c r="BP10" s="617"/>
      <c r="BQ10" s="617"/>
      <c r="BR10" s="617"/>
      <c r="BS10" s="617"/>
      <c r="BT10" s="617"/>
      <c r="BU10" s="617"/>
      <c r="BV10" s="617"/>
      <c r="BW10" s="617"/>
      <c r="BX10" s="617"/>
      <c r="BY10" s="617"/>
      <c r="BZ10" s="617"/>
      <c r="CA10" s="617"/>
      <c r="CB10" s="617"/>
      <c r="CC10" s="617"/>
      <c r="CD10" s="617"/>
      <c r="CE10" s="617"/>
      <c r="CF10" s="617"/>
      <c r="CG10" s="617"/>
      <c r="CH10" s="617"/>
      <c r="CI10" s="617"/>
      <c r="CJ10" s="617"/>
      <c r="CK10" s="617"/>
      <c r="CL10" s="617"/>
      <c r="CM10" s="617"/>
      <c r="CN10" s="617"/>
      <c r="CO10" s="617"/>
      <c r="CP10" s="617"/>
      <c r="CQ10" s="617"/>
      <c r="CR10" s="617"/>
      <c r="CS10" s="617"/>
      <c r="CT10" s="617"/>
      <c r="CU10" s="617"/>
      <c r="CV10" s="617"/>
      <c r="CW10" s="617"/>
      <c r="CX10" s="617"/>
      <c r="CY10" s="617"/>
      <c r="CZ10" s="617"/>
      <c r="DA10" s="617"/>
      <c r="DB10" s="617"/>
      <c r="DC10" s="617"/>
      <c r="DD10" s="617"/>
      <c r="DE10" s="617"/>
      <c r="DF10" s="617"/>
      <c r="DG10" s="617"/>
      <c r="DH10" s="617"/>
      <c r="DI10" s="617"/>
      <c r="DJ10" s="617"/>
      <c r="DK10" s="617"/>
      <c r="DL10" s="617"/>
      <c r="DM10" s="617"/>
      <c r="DN10" s="617"/>
      <c r="DO10" s="617"/>
      <c r="DP10" s="617"/>
      <c r="DQ10" s="617"/>
      <c r="DR10" s="617"/>
      <c r="DS10" s="617"/>
      <c r="DT10" s="617"/>
      <c r="DU10" s="617"/>
      <c r="DV10" s="617"/>
      <c r="DW10" s="617"/>
      <c r="DX10" s="617"/>
      <c r="DY10" s="617"/>
      <c r="DZ10" s="617"/>
      <c r="EA10" s="617"/>
      <c r="EB10" s="617"/>
      <c r="EC10" s="617"/>
      <c r="ED10" s="617"/>
      <c r="EE10" s="617"/>
      <c r="EF10" s="617"/>
      <c r="EG10" s="617"/>
      <c r="EH10" s="617"/>
      <c r="EI10" s="617"/>
      <c r="EJ10" s="617"/>
      <c r="EK10" s="617"/>
      <c r="EL10" s="617"/>
      <c r="EM10" s="617"/>
      <c r="EN10" s="617"/>
      <c r="EO10" s="617"/>
      <c r="EP10" s="617"/>
      <c r="EQ10" s="617"/>
      <c r="ER10" s="617"/>
      <c r="ES10" s="617"/>
      <c r="ET10" s="617"/>
      <c r="EU10" s="617"/>
      <c r="EV10" s="617"/>
      <c r="EW10" s="617"/>
      <c r="EX10" s="617"/>
      <c r="EY10" s="617"/>
      <c r="EZ10" s="617"/>
      <c r="FA10" s="617"/>
      <c r="FB10" s="617"/>
      <c r="FC10" s="617"/>
      <c r="FD10" s="617"/>
      <c r="FE10" s="617"/>
      <c r="FF10" s="617"/>
      <c r="FG10" s="617"/>
      <c r="FH10" s="617"/>
    </row>
    <row r="11" spans="1:164">
      <c r="A11" s="617" t="s">
        <v>4104</v>
      </c>
      <c r="B11" s="617" t="s">
        <v>4105</v>
      </c>
      <c r="C11" s="617" t="s">
        <v>4106</v>
      </c>
      <c r="D11" s="617"/>
      <c r="E11" s="617"/>
      <c r="F11" s="617"/>
      <c r="G11" s="617"/>
      <c r="H11" s="617"/>
      <c r="I11" s="617"/>
      <c r="J11" s="617"/>
      <c r="K11" s="617"/>
      <c r="L11" s="617"/>
      <c r="M11" s="617"/>
      <c r="N11" s="617"/>
      <c r="O11" s="617"/>
      <c r="P11" s="617"/>
      <c r="Q11" s="617"/>
      <c r="R11" s="617"/>
      <c r="S11" s="617"/>
      <c r="T11" s="617"/>
      <c r="U11" s="617"/>
      <c r="V11" s="617"/>
      <c r="W11" s="617"/>
      <c r="X11" s="617"/>
      <c r="Y11" s="617"/>
      <c r="Z11" s="617"/>
      <c r="AA11" s="617"/>
      <c r="AB11" s="617"/>
      <c r="AC11" s="617"/>
      <c r="AD11" s="617"/>
      <c r="AE11" s="617"/>
      <c r="AF11" s="617"/>
      <c r="AG11" s="617"/>
      <c r="AH11" s="617"/>
      <c r="AI11" s="617"/>
      <c r="AJ11" s="617"/>
      <c r="AK11" s="617"/>
      <c r="AL11" s="617"/>
      <c r="AM11" s="617"/>
      <c r="AN11" s="617"/>
      <c r="AO11" s="617"/>
      <c r="AP11" s="617"/>
      <c r="AQ11" s="617"/>
      <c r="AR11" s="617"/>
      <c r="AS11" s="617"/>
      <c r="AT11" s="617"/>
      <c r="AU11" s="617"/>
      <c r="AV11" s="617"/>
      <c r="AW11" s="617"/>
      <c r="AX11" s="617"/>
      <c r="AY11" s="617"/>
      <c r="AZ11" s="617"/>
      <c r="BA11" s="617"/>
      <c r="BB11" s="617"/>
      <c r="BC11" s="617"/>
      <c r="BD11" s="617"/>
      <c r="BE11" s="617"/>
      <c r="BF11" s="617"/>
      <c r="BG11" s="617"/>
      <c r="BH11" s="617"/>
      <c r="BI11" s="617"/>
      <c r="BJ11" s="617"/>
      <c r="BK11" s="617"/>
      <c r="BL11" s="617"/>
      <c r="BM11" s="617"/>
      <c r="BN11" s="617"/>
      <c r="BO11" s="617"/>
      <c r="BP11" s="617"/>
      <c r="BQ11" s="617"/>
      <c r="BR11" s="617"/>
      <c r="BS11" s="617"/>
      <c r="BT11" s="617"/>
      <c r="BU11" s="617"/>
      <c r="BV11" s="617"/>
      <c r="BW11" s="617"/>
      <c r="BX11" s="617"/>
      <c r="BY11" s="617"/>
      <c r="BZ11" s="617"/>
      <c r="CA11" s="617"/>
      <c r="CB11" s="617"/>
      <c r="CC11" s="617"/>
      <c r="CD11" s="617"/>
      <c r="CE11" s="617"/>
      <c r="CF11" s="617"/>
      <c r="CG11" s="617"/>
      <c r="CH11" s="617"/>
      <c r="CI11" s="617"/>
      <c r="CJ11" s="617"/>
      <c r="CK11" s="617"/>
      <c r="CL11" s="617"/>
      <c r="CM11" s="617"/>
      <c r="CN11" s="617"/>
      <c r="CO11" s="617"/>
      <c r="CP11" s="617"/>
      <c r="CQ11" s="617"/>
      <c r="CR11" s="617"/>
      <c r="CS11" s="617"/>
      <c r="CT11" s="617"/>
      <c r="CU11" s="617"/>
      <c r="CV11" s="617"/>
      <c r="CW11" s="617"/>
      <c r="CX11" s="617"/>
      <c r="CY11" s="617"/>
      <c r="CZ11" s="617"/>
      <c r="DA11" s="617"/>
      <c r="DB11" s="617"/>
      <c r="DC11" s="617"/>
      <c r="DD11" s="617"/>
      <c r="DE11" s="617"/>
      <c r="DF11" s="617"/>
      <c r="DG11" s="617"/>
      <c r="DH11" s="617"/>
      <c r="DI11" s="617"/>
      <c r="DJ11" s="617"/>
      <c r="DK11" s="617"/>
      <c r="DL11" s="617"/>
      <c r="DM11" s="617"/>
      <c r="DN11" s="617"/>
      <c r="DO11" s="617"/>
      <c r="DP11" s="617"/>
      <c r="DQ11" s="617"/>
      <c r="DR11" s="617"/>
      <c r="DS11" s="617"/>
      <c r="DT11" s="617"/>
      <c r="DU11" s="617"/>
      <c r="DV11" s="617"/>
      <c r="DW11" s="617"/>
      <c r="DX11" s="617"/>
      <c r="DY11" s="617"/>
      <c r="DZ11" s="617"/>
      <c r="EA11" s="617"/>
      <c r="EB11" s="617"/>
      <c r="EC11" s="617"/>
      <c r="ED11" s="617"/>
      <c r="EE11" s="617"/>
      <c r="EF11" s="617"/>
      <c r="EG11" s="617"/>
      <c r="EH11" s="617"/>
      <c r="EI11" s="617"/>
      <c r="EJ11" s="617"/>
      <c r="EK11" s="617"/>
      <c r="EL11" s="617"/>
      <c r="EM11" s="617"/>
      <c r="EN11" s="617"/>
      <c r="EO11" s="617"/>
      <c r="EP11" s="617"/>
      <c r="EQ11" s="617"/>
      <c r="ER11" s="617"/>
      <c r="ES11" s="617"/>
      <c r="ET11" s="617"/>
      <c r="EU11" s="617"/>
      <c r="EV11" s="617"/>
      <c r="EW11" s="617"/>
      <c r="EX11" s="617"/>
      <c r="EY11" s="617"/>
      <c r="EZ11" s="617"/>
      <c r="FA11" s="617"/>
      <c r="FB11" s="617"/>
      <c r="FC11" s="617"/>
      <c r="FD11" s="617"/>
      <c r="FE11" s="617"/>
      <c r="FF11" s="617"/>
      <c r="FG11" s="617"/>
      <c r="FH11" s="617"/>
    </row>
    <row r="12" spans="1:164">
      <c r="A12" s="617" t="s">
        <v>4107</v>
      </c>
      <c r="B12" s="617" t="s">
        <v>2238</v>
      </c>
      <c r="C12" s="617" t="s">
        <v>2241</v>
      </c>
      <c r="D12" s="617" t="s">
        <v>2161</v>
      </c>
      <c r="E12" s="617" t="s">
        <v>4108</v>
      </c>
      <c r="F12" s="617" t="s">
        <v>2155</v>
      </c>
      <c r="G12" s="617" t="s">
        <v>2156</v>
      </c>
      <c r="H12" s="617" t="s">
        <v>2157</v>
      </c>
      <c r="I12" s="617" t="s">
        <v>2158</v>
      </c>
      <c r="J12" s="617" t="s">
        <v>2159</v>
      </c>
      <c r="K12" s="617" t="s">
        <v>2160</v>
      </c>
      <c r="L12" s="617" t="s">
        <v>2161</v>
      </c>
      <c r="M12" s="617" t="s">
        <v>2162</v>
      </c>
      <c r="N12" s="617" t="s">
        <v>2163</v>
      </c>
      <c r="O12" s="617" t="s">
        <v>2164</v>
      </c>
      <c r="P12" s="617" t="s">
        <v>2165</v>
      </c>
      <c r="Q12" s="617"/>
      <c r="R12" s="617" t="s">
        <v>2166</v>
      </c>
      <c r="S12" s="617" t="s">
        <v>2167</v>
      </c>
      <c r="T12" s="617" t="s">
        <v>2168</v>
      </c>
      <c r="U12" s="617" t="s">
        <v>2169</v>
      </c>
      <c r="V12" s="617" t="s">
        <v>2170</v>
      </c>
      <c r="W12" s="617" t="s">
        <v>2171</v>
      </c>
      <c r="X12" s="617" t="s">
        <v>2172</v>
      </c>
      <c r="Y12" s="617" t="s">
        <v>2173</v>
      </c>
      <c r="Z12" s="617" t="s">
        <v>2174</v>
      </c>
      <c r="AA12" s="617" t="s">
        <v>2175</v>
      </c>
      <c r="AB12" s="617" t="s">
        <v>2176</v>
      </c>
      <c r="AC12" s="617"/>
      <c r="AD12" s="617" t="s">
        <v>2177</v>
      </c>
      <c r="AE12" s="617" t="s">
        <v>2178</v>
      </c>
      <c r="AF12" s="617" t="s">
        <v>2179</v>
      </c>
      <c r="AG12" s="617" t="s">
        <v>2180</v>
      </c>
      <c r="AH12" s="617" t="s">
        <v>2181</v>
      </c>
      <c r="AI12" s="617" t="s">
        <v>202</v>
      </c>
      <c r="AJ12" s="617"/>
      <c r="AK12" s="617"/>
      <c r="AL12" s="617"/>
      <c r="AM12" s="617"/>
      <c r="AN12" s="617"/>
      <c r="AO12" s="617"/>
      <c r="AP12" s="617"/>
      <c r="AQ12" s="617"/>
      <c r="AR12" s="617"/>
      <c r="AS12" s="617"/>
      <c r="AT12" s="617"/>
      <c r="AU12" s="617"/>
      <c r="AV12" s="617"/>
      <c r="AW12" s="617"/>
      <c r="AX12" s="617"/>
      <c r="AY12" s="617"/>
      <c r="AZ12" s="617"/>
      <c r="BA12" s="617"/>
      <c r="BB12" s="617"/>
      <c r="BC12" s="617"/>
      <c r="BD12" s="617"/>
      <c r="BE12" s="617"/>
      <c r="BF12" s="617"/>
      <c r="BG12" s="617"/>
      <c r="BH12" s="617"/>
      <c r="BI12" s="617"/>
      <c r="BJ12" s="617"/>
      <c r="BK12" s="617"/>
      <c r="BL12" s="617"/>
      <c r="BM12" s="617"/>
      <c r="BN12" s="617"/>
      <c r="BO12" s="617"/>
      <c r="BP12" s="617"/>
      <c r="BQ12" s="617"/>
      <c r="BR12" s="617"/>
      <c r="BS12" s="617"/>
      <c r="BT12" s="617"/>
      <c r="BU12" s="617"/>
      <c r="BV12" s="617"/>
      <c r="BW12" s="617"/>
      <c r="BX12" s="617"/>
      <c r="BY12" s="617"/>
      <c r="BZ12" s="617"/>
      <c r="CA12" s="617"/>
      <c r="CB12" s="617"/>
      <c r="CC12" s="617"/>
      <c r="CD12" s="617"/>
      <c r="CE12" s="617"/>
      <c r="CF12" s="617"/>
      <c r="CG12" s="617"/>
      <c r="CH12" s="617"/>
      <c r="CI12" s="617"/>
      <c r="CJ12" s="617"/>
      <c r="CK12" s="617"/>
      <c r="CL12" s="617"/>
      <c r="CM12" s="617"/>
      <c r="CN12" s="617"/>
      <c r="CO12" s="617"/>
      <c r="CP12" s="617"/>
      <c r="CQ12" s="617"/>
      <c r="CR12" s="617"/>
      <c r="CS12" s="617"/>
      <c r="CT12" s="617"/>
      <c r="CU12" s="617"/>
      <c r="CV12" s="617"/>
      <c r="CW12" s="617"/>
      <c r="CX12" s="617"/>
      <c r="CY12" s="617"/>
      <c r="CZ12" s="617"/>
      <c r="DA12" s="617"/>
      <c r="DB12" s="617"/>
      <c r="DC12" s="617"/>
      <c r="DD12" s="617"/>
      <c r="DE12" s="617"/>
      <c r="DF12" s="617"/>
      <c r="DG12" s="617"/>
      <c r="DH12" s="617"/>
      <c r="DI12" s="617"/>
      <c r="DJ12" s="617"/>
      <c r="DK12" s="617"/>
      <c r="DL12" s="617"/>
      <c r="DM12" s="617"/>
      <c r="DN12" s="617"/>
      <c r="DO12" s="617"/>
      <c r="DP12" s="617"/>
      <c r="DQ12" s="617"/>
      <c r="DR12" s="617"/>
      <c r="DS12" s="617"/>
      <c r="DT12" s="617"/>
      <c r="DU12" s="617"/>
      <c r="DV12" s="617"/>
      <c r="DW12" s="617"/>
      <c r="DX12" s="617"/>
      <c r="DY12" s="617"/>
      <c r="DZ12" s="617"/>
      <c r="EA12" s="617"/>
      <c r="EB12" s="617"/>
      <c r="EC12" s="617"/>
      <c r="ED12" s="617"/>
      <c r="EE12" s="617"/>
      <c r="EF12" s="617"/>
      <c r="EG12" s="617"/>
      <c r="EH12" s="617"/>
      <c r="EI12" s="617"/>
      <c r="EJ12" s="617"/>
      <c r="EK12" s="617"/>
      <c r="EL12" s="617"/>
      <c r="EM12" s="617"/>
      <c r="EN12" s="617"/>
      <c r="EO12" s="617"/>
      <c r="EP12" s="617"/>
      <c r="EQ12" s="617"/>
      <c r="ER12" s="617"/>
      <c r="ES12" s="617"/>
      <c r="ET12" s="617"/>
      <c r="EU12" s="617"/>
      <c r="EV12" s="617"/>
      <c r="EW12" s="617"/>
      <c r="EX12" s="617"/>
      <c r="EY12" s="617"/>
      <c r="EZ12" s="617"/>
      <c r="FA12" s="617"/>
      <c r="FB12" s="617"/>
      <c r="FC12" s="617"/>
      <c r="FD12" s="617"/>
      <c r="FE12" s="617"/>
      <c r="FF12" s="617"/>
      <c r="FG12" s="617"/>
      <c r="FH12" s="617"/>
    </row>
    <row r="13" spans="1:164">
      <c r="A13" s="617" t="s">
        <v>4109</v>
      </c>
      <c r="B13" s="617" t="s">
        <v>314</v>
      </c>
      <c r="C13" s="617" t="s">
        <v>321</v>
      </c>
      <c r="D13" s="617" t="s">
        <v>2183</v>
      </c>
      <c r="E13" s="617" t="s">
        <v>322</v>
      </c>
      <c r="F13" s="617" t="s">
        <v>898</v>
      </c>
      <c r="G13" s="617" t="s">
        <v>315</v>
      </c>
      <c r="H13" s="617" t="s">
        <v>2184</v>
      </c>
      <c r="I13" s="617" t="s">
        <v>2185</v>
      </c>
      <c r="J13" s="617" t="s">
        <v>316</v>
      </c>
      <c r="K13" s="617" t="s">
        <v>766</v>
      </c>
      <c r="L13" s="617" t="s">
        <v>330</v>
      </c>
      <c r="M13" s="617" t="s">
        <v>2186</v>
      </c>
      <c r="N13" s="617" t="s">
        <v>2187</v>
      </c>
      <c r="O13" s="617" t="s">
        <v>2188</v>
      </c>
      <c r="P13" s="617" t="s">
        <v>765</v>
      </c>
      <c r="Q13" s="617" t="s">
        <v>328</v>
      </c>
      <c r="R13" s="617" t="s">
        <v>2189</v>
      </c>
      <c r="S13" s="617" t="s">
        <v>2190</v>
      </c>
      <c r="T13" s="617" t="s">
        <v>901</v>
      </c>
      <c r="U13" s="617" t="s">
        <v>4809</v>
      </c>
      <c r="V13" s="617" t="s">
        <v>4846</v>
      </c>
      <c r="W13" s="617"/>
      <c r="X13" s="617"/>
      <c r="Y13" s="617"/>
      <c r="Z13" s="617"/>
      <c r="AA13" s="617"/>
      <c r="AB13" s="617"/>
      <c r="AC13" s="617"/>
      <c r="AD13" s="617"/>
      <c r="AE13" s="617"/>
      <c r="AF13" s="617"/>
      <c r="AG13" s="617"/>
      <c r="AH13" s="617"/>
      <c r="AI13" s="617"/>
      <c r="AJ13" s="617"/>
      <c r="AK13" s="617"/>
      <c r="AL13" s="617"/>
      <c r="AM13" s="617"/>
      <c r="AN13" s="617"/>
      <c r="AO13" s="617"/>
      <c r="AP13" s="617"/>
      <c r="AQ13" s="617"/>
      <c r="AR13" s="617"/>
      <c r="AS13" s="617"/>
      <c r="AT13" s="617"/>
      <c r="AU13" s="617"/>
      <c r="AV13" s="617"/>
      <c r="AW13" s="617"/>
      <c r="AX13" s="617"/>
      <c r="AY13" s="617"/>
      <c r="AZ13" s="617"/>
      <c r="BA13" s="617"/>
      <c r="BB13" s="617"/>
      <c r="BC13" s="617"/>
      <c r="BD13" s="617"/>
      <c r="BE13" s="617"/>
      <c r="BF13" s="617"/>
      <c r="BG13" s="617"/>
      <c r="BH13" s="617"/>
      <c r="BI13" s="617"/>
      <c r="BJ13" s="617"/>
      <c r="BK13" s="617"/>
      <c r="BL13" s="617"/>
      <c r="BM13" s="617"/>
      <c r="BN13" s="617"/>
      <c r="BO13" s="617"/>
      <c r="BP13" s="617"/>
      <c r="BQ13" s="617"/>
      <c r="BR13" s="617"/>
      <c r="BS13" s="617"/>
      <c r="BT13" s="617"/>
      <c r="BU13" s="617"/>
      <c r="BV13" s="617"/>
      <c r="BW13" s="617"/>
      <c r="BX13" s="617"/>
      <c r="BY13" s="617"/>
      <c r="BZ13" s="617"/>
      <c r="CA13" s="617"/>
      <c r="CB13" s="617"/>
      <c r="CC13" s="617"/>
      <c r="CD13" s="617"/>
      <c r="CE13" s="617"/>
      <c r="CF13" s="617"/>
      <c r="CG13" s="617"/>
      <c r="CH13" s="617"/>
      <c r="CI13" s="617"/>
      <c r="CJ13" s="617"/>
      <c r="CK13" s="617"/>
      <c r="CL13" s="617"/>
      <c r="CM13" s="617"/>
      <c r="CN13" s="617"/>
      <c r="CO13" s="617"/>
      <c r="CP13" s="617"/>
      <c r="CQ13" s="617"/>
      <c r="CR13" s="617"/>
      <c r="CS13" s="617"/>
      <c r="CT13" s="617"/>
      <c r="CU13" s="617"/>
      <c r="CV13" s="617"/>
      <c r="CW13" s="617"/>
      <c r="CX13" s="617"/>
      <c r="CY13" s="617"/>
      <c r="CZ13" s="617"/>
      <c r="DA13" s="617"/>
      <c r="DB13" s="617"/>
      <c r="DC13" s="617"/>
      <c r="DD13" s="617"/>
      <c r="DE13" s="617"/>
      <c r="DF13" s="617"/>
      <c r="DG13" s="617"/>
      <c r="DH13" s="617"/>
      <c r="DI13" s="617"/>
      <c r="DJ13" s="617"/>
      <c r="DK13" s="617"/>
      <c r="DL13" s="617"/>
      <c r="DM13" s="617"/>
      <c r="DN13" s="617"/>
      <c r="DO13" s="617"/>
      <c r="DP13" s="617"/>
      <c r="DQ13" s="617"/>
      <c r="DR13" s="617"/>
      <c r="DS13" s="617"/>
      <c r="DT13" s="617"/>
      <c r="DU13" s="617"/>
      <c r="DV13" s="617"/>
      <c r="DW13" s="617"/>
      <c r="DX13" s="617"/>
      <c r="DY13" s="617"/>
      <c r="DZ13" s="617"/>
      <c r="EA13" s="617"/>
      <c r="EB13" s="617"/>
      <c r="EC13" s="617"/>
      <c r="ED13" s="617"/>
      <c r="EE13" s="617"/>
      <c r="EF13" s="617"/>
      <c r="EG13" s="617"/>
      <c r="EH13" s="617"/>
      <c r="EI13" s="617"/>
      <c r="EJ13" s="617"/>
      <c r="EK13" s="617"/>
      <c r="EL13" s="617"/>
      <c r="EM13" s="617"/>
      <c r="EN13" s="617"/>
      <c r="EO13" s="617"/>
      <c r="EP13" s="617"/>
      <c r="EQ13" s="617"/>
      <c r="ER13" s="617"/>
      <c r="ES13" s="617"/>
      <c r="ET13" s="617"/>
      <c r="EU13" s="617"/>
      <c r="EV13" s="617"/>
      <c r="EW13" s="617"/>
      <c r="EX13" s="617"/>
      <c r="EY13" s="617"/>
      <c r="EZ13" s="617"/>
      <c r="FA13" s="617"/>
      <c r="FB13" s="617"/>
      <c r="FC13" s="617"/>
      <c r="FD13" s="617"/>
      <c r="FE13" s="617"/>
      <c r="FF13" s="617"/>
      <c r="FG13" s="617"/>
      <c r="FH13" s="617"/>
    </row>
    <row r="14" spans="1:164">
      <c r="A14" s="617" t="s">
        <v>4110</v>
      </c>
      <c r="B14" s="617" t="s">
        <v>2400</v>
      </c>
      <c r="C14" s="617" t="s">
        <v>2401</v>
      </c>
      <c r="D14" s="617" t="s">
        <v>4111</v>
      </c>
      <c r="E14" s="617" t="s">
        <v>4810</v>
      </c>
      <c r="F14" s="617" t="s">
        <v>4811</v>
      </c>
      <c r="G14" s="617" t="s">
        <v>4812</v>
      </c>
      <c r="H14" s="617"/>
      <c r="I14" s="617"/>
      <c r="J14" s="617"/>
      <c r="K14" s="617"/>
      <c r="L14" s="617"/>
      <c r="M14" s="617"/>
      <c r="N14" s="617"/>
      <c r="O14" s="617"/>
      <c r="P14" s="617"/>
      <c r="Q14" s="617"/>
      <c r="R14" s="617"/>
      <c r="S14" s="617"/>
      <c r="T14" s="617"/>
      <c r="U14" s="617"/>
      <c r="V14" s="617"/>
      <c r="W14" s="617"/>
      <c r="X14" s="617"/>
      <c r="Y14" s="617"/>
      <c r="Z14" s="617"/>
      <c r="AA14" s="617"/>
      <c r="AB14" s="617"/>
      <c r="AC14" s="617"/>
      <c r="AD14" s="617"/>
      <c r="AE14" s="617"/>
      <c r="AF14" s="617"/>
      <c r="AG14" s="617"/>
      <c r="AH14" s="617"/>
      <c r="AI14" s="617"/>
      <c r="AJ14" s="617"/>
      <c r="AK14" s="617"/>
      <c r="AL14" s="617"/>
      <c r="AM14" s="617"/>
      <c r="AN14" s="617"/>
      <c r="AO14" s="617"/>
      <c r="AP14" s="617"/>
      <c r="AQ14" s="617"/>
      <c r="AR14" s="617"/>
      <c r="AS14" s="617"/>
      <c r="AT14" s="617"/>
      <c r="AU14" s="617"/>
      <c r="AV14" s="617"/>
      <c r="AW14" s="617"/>
      <c r="AX14" s="617"/>
      <c r="AY14" s="617"/>
      <c r="AZ14" s="617"/>
      <c r="BA14" s="617"/>
      <c r="BB14" s="617"/>
      <c r="BC14" s="617"/>
      <c r="BD14" s="617"/>
      <c r="BE14" s="617"/>
      <c r="BF14" s="617"/>
      <c r="BG14" s="617"/>
      <c r="BH14" s="617"/>
      <c r="BI14" s="617"/>
      <c r="BJ14" s="617"/>
      <c r="BK14" s="617"/>
      <c r="BL14" s="617"/>
      <c r="BM14" s="617"/>
      <c r="BN14" s="617"/>
      <c r="BO14" s="617"/>
      <c r="BP14" s="617"/>
      <c r="BQ14" s="617"/>
      <c r="BR14" s="617"/>
      <c r="BS14" s="617"/>
      <c r="BT14" s="617"/>
      <c r="BU14" s="617"/>
      <c r="BV14" s="617"/>
      <c r="BW14" s="617"/>
      <c r="BX14" s="617"/>
      <c r="BY14" s="617"/>
      <c r="BZ14" s="617"/>
      <c r="CA14" s="617"/>
      <c r="CB14" s="617"/>
      <c r="CC14" s="617"/>
      <c r="CD14" s="617"/>
      <c r="CE14" s="617"/>
      <c r="CF14" s="617"/>
      <c r="CG14" s="617"/>
      <c r="CH14" s="617"/>
      <c r="CI14" s="617"/>
      <c r="CJ14" s="617"/>
      <c r="CK14" s="617"/>
      <c r="CL14" s="617"/>
      <c r="CM14" s="617"/>
      <c r="CN14" s="617"/>
      <c r="CO14" s="617"/>
      <c r="CP14" s="617"/>
      <c r="CQ14" s="617"/>
      <c r="CR14" s="617"/>
      <c r="CS14" s="617"/>
      <c r="CT14" s="617"/>
      <c r="CU14" s="617"/>
      <c r="CV14" s="617"/>
      <c r="CW14" s="617"/>
      <c r="CX14" s="617"/>
      <c r="CY14" s="617"/>
      <c r="CZ14" s="617"/>
      <c r="DA14" s="617"/>
      <c r="DB14" s="617"/>
      <c r="DC14" s="617"/>
      <c r="DD14" s="617"/>
      <c r="DE14" s="617"/>
      <c r="DF14" s="617"/>
      <c r="DG14" s="617"/>
      <c r="DH14" s="617"/>
      <c r="DI14" s="617"/>
      <c r="DJ14" s="617"/>
      <c r="DK14" s="617"/>
      <c r="DL14" s="617"/>
      <c r="DM14" s="617"/>
      <c r="DN14" s="617"/>
      <c r="DO14" s="617"/>
      <c r="DP14" s="617"/>
      <c r="DQ14" s="617"/>
      <c r="DR14" s="617"/>
      <c r="DS14" s="617"/>
      <c r="DT14" s="617"/>
      <c r="DU14" s="617"/>
      <c r="DV14" s="617"/>
      <c r="DW14" s="617"/>
      <c r="DX14" s="617"/>
      <c r="DY14" s="617"/>
      <c r="DZ14" s="617"/>
      <c r="EA14" s="617"/>
      <c r="EB14" s="617"/>
      <c r="EC14" s="617"/>
      <c r="ED14" s="617"/>
      <c r="EE14" s="617"/>
      <c r="EF14" s="617"/>
      <c r="EG14" s="617"/>
      <c r="EH14" s="617"/>
      <c r="EI14" s="617"/>
      <c r="EJ14" s="617"/>
      <c r="EK14" s="617"/>
      <c r="EL14" s="617"/>
      <c r="EM14" s="617"/>
      <c r="EN14" s="617"/>
      <c r="EO14" s="617"/>
      <c r="EP14" s="617"/>
      <c r="EQ14" s="617"/>
      <c r="ER14" s="617"/>
      <c r="ES14" s="617"/>
      <c r="ET14" s="617"/>
      <c r="EU14" s="617"/>
      <c r="EV14" s="617"/>
      <c r="EW14" s="617"/>
      <c r="EX14" s="617"/>
      <c r="EY14" s="617"/>
      <c r="EZ14" s="617"/>
      <c r="FA14" s="617"/>
      <c r="FB14" s="617"/>
      <c r="FC14" s="617"/>
      <c r="FD14" s="617"/>
      <c r="FE14" s="617"/>
      <c r="FF14" s="617"/>
      <c r="FG14" s="617"/>
      <c r="FH14" s="617"/>
    </row>
    <row r="15" spans="1:164">
      <c r="A15" s="617" t="s">
        <v>4112</v>
      </c>
      <c r="B15" s="617" t="s">
        <v>2191</v>
      </c>
      <c r="C15" s="617" t="s">
        <v>2192</v>
      </c>
      <c r="D15" s="617" t="s">
        <v>2193</v>
      </c>
      <c r="E15" s="617" t="s">
        <v>2194</v>
      </c>
      <c r="F15" s="617" t="s">
        <v>2195</v>
      </c>
      <c r="G15" s="617" t="s">
        <v>2196</v>
      </c>
      <c r="H15" s="617" t="s">
        <v>2197</v>
      </c>
      <c r="I15" s="617" t="s">
        <v>2198</v>
      </c>
      <c r="J15" s="617" t="s">
        <v>2199</v>
      </c>
      <c r="K15" s="617" t="s">
        <v>2200</v>
      </c>
      <c r="L15" s="617" t="s">
        <v>2201</v>
      </c>
      <c r="M15" s="617"/>
      <c r="N15" s="617"/>
      <c r="O15" s="617"/>
      <c r="P15" s="617"/>
      <c r="Q15" s="617"/>
      <c r="R15" s="617"/>
      <c r="S15" s="617"/>
      <c r="T15" s="617"/>
      <c r="U15" s="617"/>
      <c r="V15" s="617"/>
      <c r="W15" s="617"/>
      <c r="X15" s="617"/>
      <c r="Y15" s="617"/>
      <c r="Z15" s="617"/>
      <c r="AA15" s="617"/>
      <c r="AB15" s="617"/>
      <c r="AC15" s="617"/>
      <c r="AD15" s="617"/>
      <c r="AE15" s="617"/>
      <c r="AF15" s="617"/>
      <c r="AG15" s="617"/>
      <c r="AH15" s="617"/>
      <c r="AI15" s="617"/>
      <c r="AJ15" s="617"/>
      <c r="AK15" s="617"/>
      <c r="AL15" s="617"/>
      <c r="AM15" s="617"/>
      <c r="AN15" s="617"/>
      <c r="AO15" s="617"/>
      <c r="AP15" s="617"/>
      <c r="AQ15" s="617"/>
      <c r="AR15" s="617"/>
      <c r="AS15" s="617"/>
      <c r="AT15" s="617"/>
      <c r="AU15" s="617"/>
      <c r="AV15" s="617"/>
      <c r="AW15" s="617"/>
      <c r="AX15" s="617"/>
      <c r="AY15" s="617"/>
      <c r="AZ15" s="617"/>
      <c r="BA15" s="617"/>
      <c r="BB15" s="617"/>
      <c r="BC15" s="617"/>
      <c r="BD15" s="617"/>
      <c r="BE15" s="617"/>
      <c r="BF15" s="617"/>
      <c r="BG15" s="617"/>
      <c r="BH15" s="617"/>
      <c r="BI15" s="617"/>
      <c r="BJ15" s="617"/>
      <c r="BK15" s="617"/>
      <c r="BL15" s="617"/>
      <c r="BM15" s="617"/>
      <c r="BN15" s="617"/>
      <c r="BO15" s="617"/>
      <c r="BP15" s="617"/>
      <c r="BQ15" s="617"/>
      <c r="BR15" s="617"/>
      <c r="BS15" s="617"/>
      <c r="BT15" s="617"/>
      <c r="BU15" s="617"/>
      <c r="BV15" s="617"/>
      <c r="BW15" s="617"/>
      <c r="BX15" s="617"/>
      <c r="BY15" s="617"/>
      <c r="BZ15" s="617"/>
      <c r="CA15" s="617"/>
      <c r="CB15" s="617"/>
      <c r="CC15" s="617"/>
      <c r="CD15" s="617"/>
      <c r="CE15" s="617"/>
      <c r="CF15" s="617"/>
      <c r="CG15" s="617"/>
      <c r="CH15" s="617"/>
      <c r="CI15" s="617"/>
      <c r="CJ15" s="617"/>
      <c r="CK15" s="617"/>
      <c r="CL15" s="617"/>
      <c r="CM15" s="617"/>
      <c r="CN15" s="617"/>
      <c r="CO15" s="617"/>
      <c r="CP15" s="617"/>
      <c r="CQ15" s="617"/>
      <c r="CR15" s="617"/>
      <c r="CS15" s="617"/>
      <c r="CT15" s="617"/>
      <c r="CU15" s="617"/>
      <c r="CV15" s="617"/>
      <c r="CW15" s="617"/>
      <c r="CX15" s="617"/>
      <c r="CY15" s="617"/>
      <c r="CZ15" s="617"/>
      <c r="DA15" s="617"/>
      <c r="DB15" s="617"/>
      <c r="DC15" s="617"/>
      <c r="DD15" s="617"/>
      <c r="DE15" s="617"/>
      <c r="DF15" s="617"/>
      <c r="DG15" s="617"/>
      <c r="DH15" s="617"/>
      <c r="DI15" s="617"/>
      <c r="DJ15" s="617"/>
      <c r="DK15" s="617"/>
      <c r="DL15" s="617"/>
      <c r="DM15" s="617"/>
      <c r="DN15" s="617"/>
      <c r="DO15" s="617"/>
      <c r="DP15" s="617"/>
      <c r="DQ15" s="617"/>
      <c r="DR15" s="617"/>
      <c r="DS15" s="617"/>
      <c r="DT15" s="617"/>
      <c r="DU15" s="617"/>
      <c r="DV15" s="617"/>
      <c r="DW15" s="617"/>
      <c r="DX15" s="617"/>
      <c r="DY15" s="617"/>
      <c r="DZ15" s="617"/>
      <c r="EA15" s="617"/>
      <c r="EB15" s="617"/>
      <c r="EC15" s="617"/>
      <c r="ED15" s="617"/>
      <c r="EE15" s="617"/>
      <c r="EF15" s="617"/>
      <c r="EG15" s="617"/>
      <c r="EH15" s="617"/>
      <c r="EI15" s="617"/>
      <c r="EJ15" s="617"/>
      <c r="EK15" s="617"/>
      <c r="EL15" s="617"/>
      <c r="EM15" s="617"/>
      <c r="EN15" s="617"/>
      <c r="EO15" s="617"/>
      <c r="EP15" s="617"/>
      <c r="EQ15" s="617"/>
      <c r="ER15" s="617"/>
      <c r="ES15" s="617"/>
      <c r="ET15" s="617"/>
      <c r="EU15" s="617"/>
      <c r="EV15" s="617"/>
      <c r="EW15" s="617"/>
      <c r="EX15" s="617"/>
      <c r="EY15" s="617"/>
      <c r="EZ15" s="617"/>
      <c r="FA15" s="617"/>
      <c r="FB15" s="617"/>
      <c r="FC15" s="617"/>
      <c r="FD15" s="617"/>
      <c r="FE15" s="617"/>
      <c r="FF15" s="617"/>
      <c r="FG15" s="617"/>
      <c r="FH15" s="617"/>
    </row>
    <row r="16" spans="1:164">
      <c r="A16" s="617" t="s">
        <v>4113</v>
      </c>
      <c r="B16" s="617" t="s">
        <v>2202</v>
      </c>
      <c r="C16" s="617" t="s">
        <v>2203</v>
      </c>
      <c r="D16" s="617" t="s">
        <v>2204</v>
      </c>
      <c r="E16" s="617" t="s">
        <v>2205</v>
      </c>
      <c r="F16" s="617" t="s">
        <v>202</v>
      </c>
      <c r="G16" s="617"/>
      <c r="H16" s="617"/>
      <c r="I16" s="617"/>
      <c r="J16" s="617"/>
      <c r="K16" s="617"/>
      <c r="L16" s="617"/>
      <c r="M16" s="617"/>
      <c r="N16" s="617"/>
      <c r="O16" s="617"/>
      <c r="P16" s="617"/>
      <c r="Q16" s="617"/>
      <c r="R16" s="617"/>
      <c r="S16" s="617"/>
      <c r="T16" s="617"/>
      <c r="U16" s="617"/>
      <c r="V16" s="617"/>
      <c r="W16" s="617"/>
      <c r="X16" s="617"/>
      <c r="Y16" s="617"/>
      <c r="Z16" s="617"/>
      <c r="AA16" s="617"/>
      <c r="AB16" s="617"/>
      <c r="AC16" s="617"/>
      <c r="AD16" s="617"/>
      <c r="AE16" s="617"/>
      <c r="AF16" s="617"/>
      <c r="AG16" s="617"/>
      <c r="AH16" s="617"/>
      <c r="AI16" s="617"/>
      <c r="AJ16" s="617"/>
      <c r="AK16" s="617"/>
      <c r="AL16" s="617"/>
      <c r="AM16" s="617"/>
      <c r="AN16" s="617"/>
      <c r="AO16" s="617"/>
      <c r="AP16" s="617"/>
      <c r="AQ16" s="617"/>
      <c r="AR16" s="617"/>
      <c r="AS16" s="617"/>
      <c r="AT16" s="617"/>
      <c r="AU16" s="617"/>
      <c r="AV16" s="617"/>
      <c r="AW16" s="617"/>
      <c r="AX16" s="617"/>
      <c r="AY16" s="617"/>
      <c r="AZ16" s="617"/>
      <c r="BA16" s="617"/>
      <c r="BB16" s="617"/>
      <c r="BC16" s="617"/>
      <c r="BD16" s="617"/>
      <c r="BE16" s="617"/>
      <c r="BF16" s="617"/>
      <c r="BG16" s="617"/>
      <c r="BH16" s="617"/>
      <c r="BI16" s="617"/>
      <c r="BJ16" s="617"/>
      <c r="BK16" s="617"/>
      <c r="BL16" s="617"/>
      <c r="BM16" s="617"/>
      <c r="BN16" s="617"/>
      <c r="BO16" s="617"/>
      <c r="BP16" s="617"/>
      <c r="BQ16" s="617"/>
      <c r="BR16" s="617"/>
      <c r="BS16" s="617"/>
      <c r="BT16" s="617"/>
      <c r="BU16" s="617"/>
      <c r="BV16" s="617"/>
      <c r="BW16" s="617"/>
      <c r="BX16" s="617"/>
      <c r="BY16" s="617"/>
      <c r="BZ16" s="617"/>
      <c r="CA16" s="617"/>
      <c r="CB16" s="617"/>
      <c r="CC16" s="617"/>
      <c r="CD16" s="617"/>
      <c r="CE16" s="617"/>
      <c r="CF16" s="617"/>
      <c r="CG16" s="617"/>
      <c r="CH16" s="617"/>
      <c r="CI16" s="617"/>
      <c r="CJ16" s="617"/>
      <c r="CK16" s="617"/>
      <c r="CL16" s="617"/>
      <c r="CM16" s="617"/>
      <c r="CN16" s="617"/>
      <c r="CO16" s="617"/>
      <c r="CP16" s="617"/>
      <c r="CQ16" s="617"/>
      <c r="CR16" s="617"/>
      <c r="CS16" s="617"/>
      <c r="CT16" s="617"/>
      <c r="CU16" s="617"/>
      <c r="CV16" s="617"/>
      <c r="CW16" s="617"/>
      <c r="CX16" s="617"/>
      <c r="CY16" s="617"/>
      <c r="CZ16" s="617"/>
      <c r="DA16" s="617"/>
      <c r="DB16" s="617"/>
      <c r="DC16" s="617"/>
      <c r="DD16" s="617"/>
      <c r="DE16" s="617"/>
      <c r="DF16" s="617"/>
      <c r="DG16" s="617"/>
      <c r="DH16" s="617"/>
      <c r="DI16" s="617"/>
      <c r="DJ16" s="617"/>
      <c r="DK16" s="617"/>
      <c r="DL16" s="617"/>
      <c r="DM16" s="617"/>
      <c r="DN16" s="617"/>
      <c r="DO16" s="617"/>
      <c r="DP16" s="617"/>
      <c r="DQ16" s="617"/>
      <c r="DR16" s="617"/>
      <c r="DS16" s="617"/>
      <c r="DT16" s="617"/>
      <c r="DU16" s="617"/>
      <c r="DV16" s="617"/>
      <c r="DW16" s="617"/>
      <c r="DX16" s="617"/>
      <c r="DY16" s="617"/>
      <c r="DZ16" s="617"/>
      <c r="EA16" s="617"/>
      <c r="EB16" s="617"/>
      <c r="EC16" s="617"/>
      <c r="ED16" s="617"/>
      <c r="EE16" s="617"/>
      <c r="EF16" s="617"/>
      <c r="EG16" s="617"/>
      <c r="EH16" s="617"/>
      <c r="EI16" s="617"/>
      <c r="EJ16" s="617"/>
      <c r="EK16" s="617"/>
      <c r="EL16" s="617"/>
      <c r="EM16" s="617"/>
      <c r="EN16" s="617"/>
      <c r="EO16" s="617"/>
      <c r="EP16" s="617"/>
      <c r="EQ16" s="617"/>
      <c r="ER16" s="617"/>
      <c r="ES16" s="617"/>
      <c r="ET16" s="617"/>
      <c r="EU16" s="617"/>
      <c r="EV16" s="617"/>
      <c r="EW16" s="617"/>
      <c r="EX16" s="617"/>
      <c r="EY16" s="617"/>
      <c r="EZ16" s="617"/>
      <c r="FA16" s="617"/>
      <c r="FB16" s="617"/>
      <c r="FC16" s="617"/>
      <c r="FD16" s="617"/>
      <c r="FE16" s="617"/>
      <c r="FF16" s="617"/>
      <c r="FG16" s="617"/>
      <c r="FH16" s="617"/>
    </row>
    <row r="17" spans="1:164">
      <c r="A17" s="617" t="s">
        <v>4114</v>
      </c>
      <c r="B17" s="617" t="s">
        <v>20</v>
      </c>
      <c r="C17" s="617" t="s">
        <v>285</v>
      </c>
      <c r="D17" s="617" t="s">
        <v>2218</v>
      </c>
      <c r="E17" s="617" t="s">
        <v>2219</v>
      </c>
      <c r="F17" s="617" t="s">
        <v>2220</v>
      </c>
      <c r="G17" s="617" t="s">
        <v>2221</v>
      </c>
      <c r="H17" s="617" t="s">
        <v>2222</v>
      </c>
      <c r="I17" s="617"/>
      <c r="J17" s="617"/>
      <c r="K17" s="617"/>
      <c r="L17" s="617"/>
      <c r="M17" s="617"/>
      <c r="N17" s="617"/>
      <c r="O17" s="617"/>
      <c r="P17" s="617"/>
      <c r="Q17" s="617"/>
      <c r="R17" s="617"/>
      <c r="S17" s="617"/>
      <c r="T17" s="617"/>
      <c r="U17" s="617"/>
      <c r="V17" s="617"/>
      <c r="W17" s="617"/>
      <c r="X17" s="617"/>
      <c r="Y17" s="617"/>
      <c r="Z17" s="617"/>
      <c r="AA17" s="617"/>
      <c r="AB17" s="617"/>
      <c r="AC17" s="617"/>
      <c r="AD17" s="617"/>
      <c r="AE17" s="617"/>
      <c r="AF17" s="617"/>
      <c r="AG17" s="617"/>
      <c r="AH17" s="617"/>
      <c r="AI17" s="617"/>
      <c r="AJ17" s="617"/>
      <c r="AK17" s="617"/>
      <c r="AL17" s="617"/>
      <c r="AM17" s="617"/>
      <c r="AN17" s="617"/>
      <c r="AO17" s="617"/>
      <c r="AP17" s="617"/>
      <c r="AQ17" s="617"/>
      <c r="AR17" s="617"/>
      <c r="AS17" s="617"/>
      <c r="AT17" s="617"/>
      <c r="AU17" s="617"/>
      <c r="AV17" s="617"/>
      <c r="AW17" s="617"/>
      <c r="AX17" s="617"/>
      <c r="AY17" s="617"/>
      <c r="AZ17" s="617"/>
      <c r="BA17" s="617"/>
      <c r="BB17" s="617"/>
      <c r="BC17" s="617"/>
      <c r="BD17" s="617"/>
      <c r="BE17" s="617"/>
      <c r="BF17" s="617"/>
      <c r="BG17" s="617"/>
      <c r="BH17" s="617"/>
      <c r="BI17" s="617"/>
      <c r="BJ17" s="617"/>
      <c r="BK17" s="617"/>
      <c r="BL17" s="617"/>
      <c r="BM17" s="617"/>
      <c r="BN17" s="617"/>
      <c r="BO17" s="617"/>
      <c r="BP17" s="617"/>
      <c r="BQ17" s="617"/>
      <c r="BR17" s="617"/>
      <c r="BS17" s="617"/>
      <c r="BT17" s="617"/>
      <c r="BU17" s="617"/>
      <c r="BV17" s="617"/>
      <c r="BW17" s="617"/>
      <c r="BX17" s="617"/>
      <c r="BY17" s="617"/>
      <c r="BZ17" s="617"/>
      <c r="CA17" s="617"/>
      <c r="CB17" s="617"/>
      <c r="CC17" s="617"/>
      <c r="CD17" s="617"/>
      <c r="CE17" s="617"/>
      <c r="CF17" s="617"/>
      <c r="CG17" s="617"/>
      <c r="CH17" s="617"/>
      <c r="CI17" s="617"/>
      <c r="CJ17" s="617"/>
      <c r="CK17" s="617"/>
      <c r="CL17" s="617"/>
      <c r="CM17" s="617"/>
      <c r="CN17" s="617"/>
      <c r="CO17" s="617"/>
      <c r="CP17" s="617"/>
      <c r="CQ17" s="617"/>
      <c r="CR17" s="617"/>
      <c r="CS17" s="617"/>
      <c r="CT17" s="617"/>
      <c r="CU17" s="617"/>
      <c r="CV17" s="617"/>
      <c r="CW17" s="617"/>
      <c r="CX17" s="617"/>
      <c r="CY17" s="617"/>
      <c r="CZ17" s="617"/>
      <c r="DA17" s="617"/>
      <c r="DB17" s="617"/>
      <c r="DC17" s="617"/>
      <c r="DD17" s="617"/>
      <c r="DE17" s="617"/>
      <c r="DF17" s="617"/>
      <c r="DG17" s="617"/>
      <c r="DH17" s="617"/>
      <c r="DI17" s="617"/>
      <c r="DJ17" s="617"/>
      <c r="DK17" s="617"/>
      <c r="DL17" s="617"/>
      <c r="DM17" s="617"/>
      <c r="DN17" s="617"/>
      <c r="DO17" s="617"/>
      <c r="DP17" s="617"/>
      <c r="DQ17" s="617"/>
      <c r="DR17" s="617"/>
      <c r="DS17" s="617"/>
      <c r="DT17" s="617"/>
      <c r="DU17" s="617"/>
      <c r="DV17" s="617"/>
      <c r="DW17" s="617"/>
      <c r="DX17" s="617"/>
      <c r="DY17" s="617"/>
      <c r="DZ17" s="617"/>
      <c r="EA17" s="617"/>
      <c r="EB17" s="617"/>
      <c r="EC17" s="617"/>
      <c r="ED17" s="617"/>
      <c r="EE17" s="617"/>
      <c r="EF17" s="617"/>
      <c r="EG17" s="617"/>
      <c r="EH17" s="617"/>
      <c r="EI17" s="617"/>
      <c r="EJ17" s="617"/>
      <c r="EK17" s="617"/>
      <c r="EL17" s="617"/>
      <c r="EM17" s="617"/>
      <c r="EN17" s="617"/>
      <c r="EO17" s="617"/>
      <c r="EP17" s="617"/>
      <c r="EQ17" s="617"/>
      <c r="ER17" s="617"/>
      <c r="ES17" s="617"/>
      <c r="ET17" s="617"/>
      <c r="EU17" s="617"/>
      <c r="EV17" s="617"/>
      <c r="EW17" s="617"/>
      <c r="EX17" s="617"/>
      <c r="EY17" s="617"/>
      <c r="EZ17" s="617"/>
      <c r="FA17" s="617"/>
      <c r="FB17" s="617"/>
      <c r="FC17" s="617"/>
      <c r="FD17" s="617"/>
      <c r="FE17" s="617"/>
      <c r="FF17" s="617"/>
      <c r="FG17" s="617"/>
      <c r="FH17" s="617"/>
    </row>
    <row r="18" spans="1:164">
      <c r="A18" s="617" t="s">
        <v>4115</v>
      </c>
      <c r="B18" s="617" t="s">
        <v>4116</v>
      </c>
      <c r="C18" s="617" t="s">
        <v>4117</v>
      </c>
      <c r="D18" s="617" t="s">
        <v>4118</v>
      </c>
      <c r="E18" s="617" t="s">
        <v>2164</v>
      </c>
      <c r="F18" s="617" t="s">
        <v>2206</v>
      </c>
      <c r="G18" s="617" t="s">
        <v>2207</v>
      </c>
      <c r="H18" s="617" t="s">
        <v>2208</v>
      </c>
      <c r="I18" s="617" t="s">
        <v>2209</v>
      </c>
      <c r="J18" s="617" t="s">
        <v>2210</v>
      </c>
      <c r="K18" s="617" t="s">
        <v>2211</v>
      </c>
      <c r="L18" s="617" t="s">
        <v>2212</v>
      </c>
      <c r="M18" s="617" t="s">
        <v>2213</v>
      </c>
      <c r="N18" s="617" t="s">
        <v>2214</v>
      </c>
      <c r="O18" s="617"/>
      <c r="P18" s="617" t="s">
        <v>2215</v>
      </c>
      <c r="Q18" s="617" t="s">
        <v>2216</v>
      </c>
      <c r="R18" s="617" t="s">
        <v>2217</v>
      </c>
      <c r="S18" s="617"/>
      <c r="T18" s="617"/>
      <c r="U18" s="617"/>
      <c r="V18" s="617"/>
      <c r="W18" s="617"/>
      <c r="X18" s="617"/>
      <c r="Y18" s="617"/>
      <c r="Z18" s="617"/>
      <c r="AA18" s="617"/>
      <c r="AB18" s="617"/>
      <c r="AC18" s="617"/>
      <c r="AD18" s="617"/>
      <c r="AE18" s="617"/>
      <c r="AF18" s="617"/>
      <c r="AG18" s="617"/>
      <c r="AH18" s="617"/>
      <c r="AI18" s="617"/>
      <c r="AJ18" s="617"/>
      <c r="AK18" s="617"/>
      <c r="AL18" s="617"/>
      <c r="AM18" s="617"/>
      <c r="AN18" s="617"/>
      <c r="AO18" s="617"/>
      <c r="AP18" s="617"/>
      <c r="AQ18" s="617"/>
      <c r="AR18" s="617"/>
      <c r="AS18" s="617"/>
      <c r="AT18" s="617"/>
      <c r="AU18" s="617"/>
      <c r="AV18" s="617"/>
      <c r="AW18" s="617"/>
      <c r="AX18" s="617"/>
      <c r="AY18" s="617"/>
      <c r="AZ18" s="617"/>
      <c r="BA18" s="617"/>
      <c r="BB18" s="617"/>
      <c r="BC18" s="617"/>
      <c r="BD18" s="617"/>
      <c r="BE18" s="617"/>
      <c r="BF18" s="617"/>
      <c r="BG18" s="617"/>
      <c r="BH18" s="617"/>
      <c r="BI18" s="617"/>
      <c r="BJ18" s="617"/>
      <c r="BK18" s="617"/>
      <c r="BL18" s="617"/>
      <c r="BM18" s="617"/>
      <c r="BN18" s="617"/>
      <c r="BO18" s="617"/>
      <c r="BP18" s="617"/>
      <c r="BQ18" s="617"/>
      <c r="BR18" s="617"/>
      <c r="BS18" s="617"/>
      <c r="BT18" s="617"/>
      <c r="BU18" s="617"/>
      <c r="BV18" s="617"/>
      <c r="BW18" s="617"/>
      <c r="BX18" s="617"/>
      <c r="BY18" s="617"/>
      <c r="BZ18" s="617"/>
      <c r="CA18" s="617"/>
      <c r="CB18" s="617"/>
      <c r="CC18" s="617"/>
      <c r="CD18" s="617"/>
      <c r="CE18" s="617"/>
      <c r="CF18" s="617"/>
      <c r="CG18" s="617"/>
      <c r="CH18" s="617"/>
      <c r="CI18" s="617"/>
      <c r="CJ18" s="617"/>
      <c r="CK18" s="617"/>
      <c r="CL18" s="617"/>
      <c r="CM18" s="617"/>
      <c r="CN18" s="617"/>
      <c r="CO18" s="617"/>
      <c r="CP18" s="617"/>
      <c r="CQ18" s="617"/>
      <c r="CR18" s="617"/>
      <c r="CS18" s="617"/>
      <c r="CT18" s="617"/>
      <c r="CU18" s="617"/>
      <c r="CV18" s="617"/>
      <c r="CW18" s="617"/>
      <c r="CX18" s="617"/>
      <c r="CY18" s="617"/>
      <c r="CZ18" s="617"/>
      <c r="DA18" s="617"/>
      <c r="DB18" s="617"/>
      <c r="DC18" s="617"/>
      <c r="DD18" s="617"/>
      <c r="DE18" s="617"/>
      <c r="DF18" s="617"/>
      <c r="DG18" s="617"/>
      <c r="DH18" s="617"/>
      <c r="DI18" s="617"/>
      <c r="DJ18" s="617"/>
      <c r="DK18" s="617"/>
      <c r="DL18" s="617"/>
      <c r="DM18" s="617"/>
      <c r="DN18" s="617"/>
      <c r="DO18" s="617"/>
      <c r="DP18" s="617"/>
      <c r="DQ18" s="617"/>
      <c r="DR18" s="617"/>
      <c r="DS18" s="617"/>
      <c r="DT18" s="617"/>
      <c r="DU18" s="617"/>
      <c r="DV18" s="617"/>
      <c r="DW18" s="617"/>
      <c r="DX18" s="617"/>
      <c r="DY18" s="617"/>
      <c r="DZ18" s="617"/>
      <c r="EA18" s="617"/>
      <c r="EB18" s="617"/>
      <c r="EC18" s="617"/>
      <c r="ED18" s="617"/>
      <c r="EE18" s="617"/>
      <c r="EF18" s="617"/>
      <c r="EG18" s="617"/>
      <c r="EH18" s="617"/>
      <c r="EI18" s="617"/>
      <c r="EJ18" s="617"/>
      <c r="EK18" s="617"/>
      <c r="EL18" s="617"/>
      <c r="EM18" s="617"/>
      <c r="EN18" s="617"/>
      <c r="EO18" s="617"/>
      <c r="EP18" s="617"/>
      <c r="EQ18" s="617"/>
      <c r="ER18" s="617"/>
      <c r="ES18" s="617"/>
      <c r="ET18" s="617"/>
      <c r="EU18" s="617"/>
      <c r="EV18" s="617"/>
      <c r="EW18" s="617"/>
      <c r="EX18" s="617"/>
      <c r="EY18" s="617"/>
      <c r="EZ18" s="617"/>
      <c r="FA18" s="617"/>
      <c r="FB18" s="617"/>
      <c r="FC18" s="617"/>
      <c r="FD18" s="617"/>
      <c r="FE18" s="617"/>
      <c r="FF18" s="617"/>
      <c r="FG18" s="617"/>
      <c r="FH18" s="617"/>
    </row>
    <row r="19" spans="1:164">
      <c r="A19" s="617" t="s">
        <v>4119</v>
      </c>
      <c r="B19" s="617" t="s">
        <v>373</v>
      </c>
      <c r="C19" s="617" t="s">
        <v>4120</v>
      </c>
      <c r="D19" s="617" t="s">
        <v>4121</v>
      </c>
      <c r="E19" s="617" t="s">
        <v>202</v>
      </c>
      <c r="F19" s="617"/>
      <c r="G19" s="617"/>
      <c r="H19" s="617"/>
      <c r="I19" s="617"/>
      <c r="J19" s="617"/>
      <c r="K19" s="617"/>
      <c r="L19" s="617"/>
      <c r="M19" s="617"/>
      <c r="N19" s="617"/>
      <c r="O19" s="617"/>
      <c r="P19" s="617"/>
      <c r="Q19" s="617"/>
      <c r="R19" s="617"/>
      <c r="S19" s="617"/>
      <c r="T19" s="617"/>
      <c r="U19" s="617"/>
      <c r="V19" s="617"/>
      <c r="W19" s="617"/>
      <c r="X19" s="617"/>
      <c r="Y19" s="617"/>
      <c r="Z19" s="617"/>
      <c r="AA19" s="617"/>
      <c r="AB19" s="617"/>
      <c r="AC19" s="617"/>
      <c r="AD19" s="617"/>
      <c r="AE19" s="617"/>
      <c r="AF19" s="617"/>
      <c r="AG19" s="617"/>
      <c r="AH19" s="617"/>
      <c r="AI19" s="617"/>
      <c r="AJ19" s="617"/>
      <c r="AK19" s="617"/>
      <c r="AL19" s="617"/>
      <c r="AM19" s="617"/>
      <c r="AN19" s="617"/>
      <c r="AO19" s="617"/>
      <c r="AP19" s="617"/>
      <c r="AQ19" s="617"/>
      <c r="AR19" s="617"/>
      <c r="AS19" s="617"/>
      <c r="AT19" s="617"/>
      <c r="AU19" s="617"/>
      <c r="AV19" s="617"/>
      <c r="AW19" s="617"/>
      <c r="AX19" s="617"/>
      <c r="AY19" s="617"/>
      <c r="AZ19" s="617"/>
      <c r="BA19" s="617"/>
      <c r="BB19" s="617"/>
      <c r="BC19" s="617"/>
      <c r="BD19" s="617"/>
      <c r="BE19" s="617"/>
      <c r="BF19" s="617"/>
      <c r="BG19" s="617"/>
      <c r="BH19" s="617"/>
      <c r="BI19" s="617"/>
      <c r="BJ19" s="617"/>
      <c r="BK19" s="617"/>
      <c r="BL19" s="617"/>
      <c r="BM19" s="617"/>
      <c r="BN19" s="617"/>
      <c r="BO19" s="617"/>
      <c r="BP19" s="617"/>
      <c r="BQ19" s="617"/>
      <c r="BR19" s="617"/>
      <c r="BS19" s="617"/>
      <c r="BT19" s="617"/>
      <c r="BU19" s="617"/>
      <c r="BV19" s="617"/>
      <c r="BW19" s="617"/>
      <c r="BX19" s="617"/>
      <c r="BY19" s="617"/>
      <c r="BZ19" s="617"/>
      <c r="CA19" s="617"/>
      <c r="CB19" s="617"/>
      <c r="CC19" s="617"/>
      <c r="CD19" s="617"/>
      <c r="CE19" s="617"/>
      <c r="CF19" s="617"/>
      <c r="CG19" s="617"/>
      <c r="CH19" s="617"/>
      <c r="CI19" s="617"/>
      <c r="CJ19" s="617"/>
      <c r="CK19" s="617"/>
      <c r="CL19" s="617"/>
      <c r="CM19" s="617"/>
      <c r="CN19" s="617"/>
      <c r="CO19" s="617"/>
      <c r="CP19" s="617"/>
      <c r="CQ19" s="617"/>
      <c r="CR19" s="617"/>
      <c r="CS19" s="617"/>
      <c r="CT19" s="617"/>
      <c r="CU19" s="617"/>
      <c r="CV19" s="617"/>
      <c r="CW19" s="617"/>
      <c r="CX19" s="617"/>
      <c r="CY19" s="617"/>
      <c r="CZ19" s="617"/>
      <c r="DA19" s="617"/>
      <c r="DB19" s="617"/>
      <c r="DC19" s="617"/>
      <c r="DD19" s="617"/>
      <c r="DE19" s="617"/>
      <c r="DF19" s="617"/>
      <c r="DG19" s="617"/>
      <c r="DH19" s="617"/>
      <c r="DI19" s="617"/>
      <c r="DJ19" s="617"/>
      <c r="DK19" s="617"/>
      <c r="DL19" s="617"/>
      <c r="DM19" s="617"/>
      <c r="DN19" s="617"/>
      <c r="DO19" s="617"/>
      <c r="DP19" s="617"/>
      <c r="DQ19" s="617"/>
      <c r="DR19" s="617"/>
      <c r="DS19" s="617"/>
      <c r="DT19" s="617"/>
      <c r="DU19" s="617"/>
      <c r="DV19" s="617"/>
      <c r="DW19" s="617"/>
      <c r="DX19" s="617"/>
      <c r="DY19" s="617"/>
      <c r="DZ19" s="617"/>
      <c r="EA19" s="617"/>
      <c r="EB19" s="617"/>
      <c r="EC19" s="617"/>
      <c r="ED19" s="617"/>
      <c r="EE19" s="617"/>
      <c r="EF19" s="617"/>
      <c r="EG19" s="617"/>
      <c r="EH19" s="617"/>
      <c r="EI19" s="617"/>
      <c r="EJ19" s="617"/>
      <c r="EK19" s="617"/>
      <c r="EL19" s="617"/>
      <c r="EM19" s="617"/>
      <c r="EN19" s="617"/>
      <c r="EO19" s="617"/>
      <c r="EP19" s="617"/>
      <c r="EQ19" s="617"/>
      <c r="ER19" s="617"/>
      <c r="ES19" s="617"/>
      <c r="ET19" s="617"/>
      <c r="EU19" s="617"/>
      <c r="EV19" s="617"/>
      <c r="EW19" s="617"/>
      <c r="EX19" s="617"/>
      <c r="EY19" s="617"/>
      <c r="EZ19" s="617"/>
      <c r="FA19" s="617"/>
      <c r="FB19" s="617"/>
      <c r="FC19" s="617"/>
      <c r="FD19" s="617"/>
      <c r="FE19" s="617"/>
      <c r="FF19" s="617"/>
      <c r="FG19" s="617"/>
      <c r="FH19" s="617"/>
    </row>
    <row r="20" spans="1:164">
      <c r="A20" s="617" t="s">
        <v>4122</v>
      </c>
      <c r="B20" s="617" t="s">
        <v>393</v>
      </c>
      <c r="C20" s="617" t="s">
        <v>3332</v>
      </c>
      <c r="D20" s="617" t="s">
        <v>3511</v>
      </c>
      <c r="E20" s="617" t="s">
        <v>394</v>
      </c>
      <c r="F20" s="617" t="s">
        <v>2224</v>
      </c>
      <c r="G20" s="617" t="s">
        <v>2225</v>
      </c>
      <c r="H20" s="617" t="s">
        <v>202</v>
      </c>
      <c r="I20" s="617"/>
      <c r="J20" s="617"/>
      <c r="K20" s="617"/>
      <c r="L20" s="617"/>
      <c r="M20" s="617"/>
      <c r="N20" s="617"/>
      <c r="O20" s="617"/>
      <c r="P20" s="617"/>
      <c r="Q20" s="617"/>
      <c r="R20" s="617"/>
      <c r="S20" s="617"/>
      <c r="T20" s="617"/>
      <c r="U20" s="617"/>
      <c r="V20" s="617"/>
      <c r="W20" s="617"/>
      <c r="X20" s="617"/>
      <c r="Y20" s="617"/>
      <c r="Z20" s="617"/>
      <c r="AA20" s="617"/>
      <c r="AB20" s="617"/>
      <c r="AC20" s="617"/>
      <c r="AD20" s="617"/>
      <c r="AE20" s="617"/>
      <c r="AF20" s="617"/>
      <c r="AG20" s="617"/>
      <c r="AH20" s="617"/>
      <c r="AI20" s="617"/>
      <c r="AJ20" s="617"/>
      <c r="AK20" s="617"/>
      <c r="AL20" s="617"/>
      <c r="AM20" s="617"/>
      <c r="AN20" s="617"/>
      <c r="AO20" s="617"/>
      <c r="AP20" s="617"/>
      <c r="AQ20" s="617"/>
      <c r="AR20" s="617"/>
      <c r="AS20" s="617"/>
      <c r="AT20" s="617"/>
      <c r="AU20" s="617"/>
      <c r="AV20" s="617"/>
      <c r="AW20" s="617"/>
      <c r="AX20" s="617"/>
      <c r="AY20" s="617"/>
      <c r="AZ20" s="617"/>
      <c r="BA20" s="617"/>
      <c r="BB20" s="617"/>
      <c r="BC20" s="617"/>
      <c r="BD20" s="617"/>
      <c r="BE20" s="617"/>
      <c r="BF20" s="617"/>
      <c r="BG20" s="617"/>
      <c r="BH20" s="617"/>
      <c r="BI20" s="617"/>
      <c r="BJ20" s="617"/>
      <c r="BK20" s="617"/>
      <c r="BL20" s="617"/>
      <c r="BM20" s="617"/>
      <c r="BN20" s="617"/>
      <c r="BO20" s="617"/>
      <c r="BP20" s="617"/>
      <c r="BQ20" s="617"/>
      <c r="BR20" s="617"/>
      <c r="BS20" s="617"/>
      <c r="BT20" s="617"/>
      <c r="BU20" s="617"/>
      <c r="BV20" s="617"/>
      <c r="BW20" s="617"/>
      <c r="BX20" s="617"/>
      <c r="BY20" s="617"/>
      <c r="BZ20" s="617"/>
      <c r="CA20" s="617"/>
      <c r="CB20" s="617"/>
      <c r="CC20" s="617"/>
      <c r="CD20" s="617"/>
      <c r="CE20" s="617"/>
      <c r="CF20" s="617"/>
      <c r="CG20" s="617"/>
      <c r="CH20" s="617"/>
      <c r="CI20" s="617"/>
      <c r="CJ20" s="617"/>
      <c r="CK20" s="617"/>
      <c r="CL20" s="617"/>
      <c r="CM20" s="617"/>
      <c r="CN20" s="617"/>
      <c r="CO20" s="617"/>
      <c r="CP20" s="617"/>
      <c r="CQ20" s="617"/>
      <c r="CR20" s="617"/>
      <c r="CS20" s="617"/>
      <c r="CT20" s="617"/>
      <c r="CU20" s="617"/>
      <c r="CV20" s="617"/>
      <c r="CW20" s="617"/>
      <c r="CX20" s="617"/>
      <c r="CY20" s="617"/>
      <c r="CZ20" s="617"/>
      <c r="DA20" s="617"/>
      <c r="DB20" s="617"/>
      <c r="DC20" s="617"/>
      <c r="DD20" s="617"/>
      <c r="DE20" s="617"/>
      <c r="DF20" s="617"/>
      <c r="DG20" s="617"/>
      <c r="DH20" s="617"/>
      <c r="DI20" s="617"/>
      <c r="DJ20" s="617"/>
      <c r="DK20" s="617"/>
      <c r="DL20" s="617"/>
      <c r="DM20" s="617"/>
      <c r="DN20" s="617"/>
      <c r="DO20" s="617"/>
      <c r="DP20" s="617"/>
      <c r="DQ20" s="617"/>
      <c r="DR20" s="617"/>
      <c r="DS20" s="617"/>
      <c r="DT20" s="617"/>
      <c r="DU20" s="617"/>
      <c r="DV20" s="617"/>
      <c r="DW20" s="617"/>
      <c r="DX20" s="617"/>
      <c r="DY20" s="617"/>
      <c r="DZ20" s="617"/>
      <c r="EA20" s="617"/>
      <c r="EB20" s="617"/>
      <c r="EC20" s="617"/>
      <c r="ED20" s="617"/>
      <c r="EE20" s="617"/>
      <c r="EF20" s="617"/>
      <c r="EG20" s="617"/>
      <c r="EH20" s="617"/>
      <c r="EI20" s="617"/>
      <c r="EJ20" s="617"/>
      <c r="EK20" s="617"/>
      <c r="EL20" s="617"/>
      <c r="EM20" s="617"/>
      <c r="EN20" s="617"/>
      <c r="EO20" s="617"/>
      <c r="EP20" s="617"/>
      <c r="EQ20" s="617"/>
      <c r="ER20" s="617"/>
      <c r="ES20" s="617"/>
      <c r="ET20" s="617"/>
      <c r="EU20" s="617"/>
      <c r="EV20" s="617"/>
      <c r="EW20" s="617"/>
      <c r="EX20" s="617"/>
      <c r="EY20" s="617"/>
      <c r="EZ20" s="617"/>
      <c r="FA20" s="617"/>
      <c r="FB20" s="617"/>
      <c r="FC20" s="617"/>
      <c r="FD20" s="617"/>
      <c r="FE20" s="617"/>
      <c r="FF20" s="617"/>
      <c r="FG20" s="617"/>
      <c r="FH20" s="617"/>
    </row>
    <row r="21" spans="1:164">
      <c r="A21" s="617" t="s">
        <v>4123</v>
      </c>
      <c r="B21" s="617" t="s">
        <v>3327</v>
      </c>
      <c r="C21" s="617" t="s">
        <v>3328</v>
      </c>
      <c r="D21" s="617" t="s">
        <v>3329</v>
      </c>
      <c r="E21" s="617"/>
      <c r="F21" s="617"/>
      <c r="G21" s="617"/>
      <c r="H21" s="617"/>
      <c r="I21" s="617"/>
      <c r="J21" s="617"/>
      <c r="K21" s="617"/>
      <c r="L21" s="617"/>
      <c r="M21" s="617"/>
      <c r="N21" s="617"/>
      <c r="O21" s="617"/>
      <c r="P21" s="617"/>
      <c r="Q21" s="617"/>
      <c r="R21" s="617"/>
      <c r="S21" s="617"/>
      <c r="T21" s="617"/>
      <c r="U21" s="617"/>
      <c r="V21" s="617"/>
      <c r="W21" s="617"/>
      <c r="X21" s="617"/>
      <c r="Y21" s="617"/>
      <c r="Z21" s="617"/>
      <c r="AA21" s="617"/>
      <c r="AB21" s="617"/>
      <c r="AC21" s="617"/>
      <c r="AD21" s="617"/>
      <c r="AE21" s="617"/>
      <c r="AF21" s="617"/>
      <c r="AG21" s="617"/>
      <c r="AH21" s="617"/>
      <c r="AI21" s="617"/>
      <c r="AJ21" s="617"/>
      <c r="AK21" s="617"/>
      <c r="AL21" s="617"/>
      <c r="AM21" s="617"/>
      <c r="AN21" s="617"/>
      <c r="AO21" s="617"/>
      <c r="AP21" s="617"/>
      <c r="AQ21" s="617"/>
      <c r="AR21" s="617"/>
      <c r="AS21" s="617"/>
      <c r="AT21" s="617"/>
      <c r="AU21" s="617"/>
      <c r="AV21" s="617"/>
      <c r="AW21" s="617"/>
      <c r="AX21" s="617"/>
      <c r="AY21" s="617"/>
      <c r="AZ21" s="617"/>
      <c r="BA21" s="617"/>
      <c r="BB21" s="617"/>
      <c r="BC21" s="617"/>
      <c r="BD21" s="617"/>
      <c r="BE21" s="617"/>
      <c r="BF21" s="617"/>
      <c r="BG21" s="617"/>
      <c r="BH21" s="617"/>
      <c r="BI21" s="617"/>
      <c r="BJ21" s="617"/>
      <c r="BK21" s="617"/>
      <c r="BL21" s="617"/>
      <c r="BM21" s="617"/>
      <c r="BN21" s="617"/>
      <c r="BO21" s="617"/>
      <c r="BP21" s="617"/>
      <c r="BQ21" s="617"/>
      <c r="BR21" s="617"/>
      <c r="BS21" s="617"/>
      <c r="BT21" s="617"/>
      <c r="BU21" s="617"/>
      <c r="BV21" s="617"/>
      <c r="BW21" s="617"/>
      <c r="BX21" s="617"/>
      <c r="BY21" s="617"/>
      <c r="BZ21" s="617"/>
      <c r="CA21" s="617"/>
      <c r="CB21" s="617"/>
      <c r="CC21" s="617"/>
      <c r="CD21" s="617"/>
      <c r="CE21" s="617"/>
      <c r="CF21" s="617"/>
      <c r="CG21" s="617"/>
      <c r="CH21" s="617"/>
      <c r="CI21" s="617"/>
      <c r="CJ21" s="617"/>
      <c r="CK21" s="617"/>
      <c r="CL21" s="617"/>
      <c r="CM21" s="617"/>
      <c r="CN21" s="617"/>
      <c r="CO21" s="617"/>
      <c r="CP21" s="617"/>
      <c r="CQ21" s="617"/>
      <c r="CR21" s="617"/>
      <c r="CS21" s="617"/>
      <c r="CT21" s="617"/>
      <c r="CU21" s="617"/>
      <c r="CV21" s="617"/>
      <c r="CW21" s="617"/>
      <c r="CX21" s="617"/>
      <c r="CY21" s="617"/>
      <c r="CZ21" s="617"/>
      <c r="DA21" s="617"/>
      <c r="DB21" s="617"/>
      <c r="DC21" s="617"/>
      <c r="DD21" s="617"/>
      <c r="DE21" s="617"/>
      <c r="DF21" s="617"/>
      <c r="DG21" s="617"/>
      <c r="DH21" s="617"/>
      <c r="DI21" s="617"/>
      <c r="DJ21" s="617"/>
      <c r="DK21" s="617"/>
      <c r="DL21" s="617"/>
      <c r="DM21" s="617"/>
      <c r="DN21" s="617"/>
      <c r="DO21" s="617"/>
      <c r="DP21" s="617"/>
      <c r="DQ21" s="617"/>
      <c r="DR21" s="617"/>
      <c r="DS21" s="617"/>
      <c r="DT21" s="617"/>
      <c r="DU21" s="617"/>
      <c r="DV21" s="617"/>
      <c r="DW21" s="617"/>
      <c r="DX21" s="617"/>
      <c r="DY21" s="617"/>
      <c r="DZ21" s="617"/>
      <c r="EA21" s="617"/>
      <c r="EB21" s="617"/>
      <c r="EC21" s="617"/>
      <c r="ED21" s="617"/>
      <c r="EE21" s="617"/>
      <c r="EF21" s="617"/>
      <c r="EG21" s="617"/>
      <c r="EH21" s="617"/>
      <c r="EI21" s="617"/>
      <c r="EJ21" s="617"/>
      <c r="EK21" s="617"/>
      <c r="EL21" s="617"/>
      <c r="EM21" s="617"/>
      <c r="EN21" s="617"/>
      <c r="EO21" s="617"/>
      <c r="EP21" s="617"/>
      <c r="EQ21" s="617"/>
      <c r="ER21" s="617"/>
      <c r="ES21" s="617"/>
      <c r="ET21" s="617"/>
      <c r="EU21" s="617"/>
      <c r="EV21" s="617"/>
      <c r="EW21" s="617"/>
      <c r="EX21" s="617"/>
      <c r="EY21" s="617"/>
      <c r="EZ21" s="617"/>
      <c r="FA21" s="617"/>
      <c r="FB21" s="617"/>
      <c r="FC21" s="617"/>
      <c r="FD21" s="617"/>
      <c r="FE21" s="617"/>
      <c r="FF21" s="617"/>
      <c r="FG21" s="617"/>
      <c r="FH21" s="617"/>
    </row>
    <row r="22" spans="1:164">
      <c r="A22" s="617" t="s">
        <v>4124</v>
      </c>
      <c r="B22" s="617" t="s">
        <v>2479</v>
      </c>
      <c r="C22" s="617" t="s">
        <v>422</v>
      </c>
      <c r="D22" s="617"/>
      <c r="E22" s="617"/>
      <c r="F22" s="617"/>
      <c r="G22" s="617"/>
      <c r="H22" s="617"/>
      <c r="I22" s="617"/>
      <c r="J22" s="617"/>
      <c r="K22" s="617"/>
      <c r="L22" s="617"/>
      <c r="M22" s="617"/>
      <c r="N22" s="617"/>
      <c r="O22" s="617"/>
      <c r="P22" s="617"/>
      <c r="Q22" s="617"/>
      <c r="R22" s="617"/>
      <c r="S22" s="617"/>
      <c r="T22" s="617"/>
      <c r="U22" s="617"/>
      <c r="V22" s="617"/>
      <c r="W22" s="617"/>
      <c r="X22" s="617"/>
      <c r="Y22" s="617"/>
      <c r="Z22" s="617"/>
      <c r="AA22" s="617"/>
      <c r="AB22" s="617"/>
      <c r="AC22" s="617"/>
      <c r="AD22" s="617"/>
      <c r="AE22" s="617"/>
      <c r="AF22" s="617"/>
      <c r="AG22" s="617"/>
      <c r="AH22" s="617"/>
      <c r="AI22" s="617"/>
      <c r="AJ22" s="617"/>
      <c r="AK22" s="617"/>
      <c r="AL22" s="617"/>
      <c r="AM22" s="617"/>
      <c r="AN22" s="617"/>
      <c r="AO22" s="617"/>
      <c r="AP22" s="617"/>
      <c r="AQ22" s="617"/>
      <c r="AR22" s="617"/>
      <c r="AS22" s="617"/>
      <c r="AT22" s="617"/>
      <c r="AU22" s="617"/>
      <c r="AV22" s="617"/>
      <c r="AW22" s="617"/>
      <c r="AX22" s="617"/>
      <c r="AY22" s="617"/>
      <c r="AZ22" s="617"/>
      <c r="BA22" s="617"/>
      <c r="BB22" s="617"/>
      <c r="BC22" s="617"/>
      <c r="BD22" s="617"/>
      <c r="BE22" s="617"/>
      <c r="BF22" s="617"/>
      <c r="BG22" s="617"/>
      <c r="BH22" s="617"/>
      <c r="BI22" s="617"/>
      <c r="BJ22" s="617"/>
      <c r="BK22" s="617"/>
      <c r="BL22" s="617"/>
      <c r="BM22" s="617"/>
      <c r="BN22" s="617"/>
      <c r="BO22" s="617"/>
      <c r="BP22" s="617"/>
      <c r="BQ22" s="617"/>
      <c r="BR22" s="617"/>
      <c r="BS22" s="617"/>
      <c r="BT22" s="617"/>
      <c r="BU22" s="617"/>
      <c r="BV22" s="617"/>
      <c r="BW22" s="617"/>
      <c r="BX22" s="617"/>
      <c r="BY22" s="617"/>
      <c r="BZ22" s="617"/>
      <c r="CA22" s="617"/>
      <c r="CB22" s="617"/>
      <c r="CC22" s="617"/>
      <c r="CD22" s="617"/>
      <c r="CE22" s="617"/>
      <c r="CF22" s="617"/>
      <c r="CG22" s="617"/>
      <c r="CH22" s="617"/>
      <c r="CI22" s="617"/>
      <c r="CJ22" s="617"/>
      <c r="CK22" s="617"/>
      <c r="CL22" s="617"/>
      <c r="CM22" s="617"/>
      <c r="CN22" s="617"/>
      <c r="CO22" s="617"/>
      <c r="CP22" s="617"/>
      <c r="CQ22" s="617"/>
      <c r="CR22" s="617"/>
      <c r="CS22" s="617"/>
      <c r="CT22" s="617"/>
      <c r="CU22" s="617"/>
      <c r="CV22" s="617"/>
      <c r="CW22" s="617"/>
      <c r="CX22" s="617"/>
      <c r="CY22" s="617"/>
      <c r="CZ22" s="617"/>
      <c r="DA22" s="617"/>
      <c r="DB22" s="617"/>
      <c r="DC22" s="617"/>
      <c r="DD22" s="617"/>
      <c r="DE22" s="617"/>
      <c r="DF22" s="617"/>
      <c r="DG22" s="617"/>
      <c r="DH22" s="617"/>
      <c r="DI22" s="617"/>
      <c r="DJ22" s="617"/>
      <c r="DK22" s="617"/>
      <c r="DL22" s="617"/>
      <c r="DM22" s="617"/>
      <c r="DN22" s="617"/>
      <c r="DO22" s="617"/>
      <c r="DP22" s="617"/>
      <c r="DQ22" s="617"/>
      <c r="DR22" s="617"/>
      <c r="DS22" s="617"/>
      <c r="DT22" s="617"/>
      <c r="DU22" s="617"/>
      <c r="DV22" s="617"/>
      <c r="DW22" s="617"/>
      <c r="DX22" s="617"/>
      <c r="DY22" s="617"/>
      <c r="DZ22" s="617"/>
      <c r="EA22" s="617"/>
      <c r="EB22" s="617"/>
      <c r="EC22" s="617"/>
      <c r="ED22" s="617"/>
      <c r="EE22" s="617"/>
      <c r="EF22" s="617"/>
      <c r="EG22" s="617"/>
      <c r="EH22" s="617"/>
      <c r="EI22" s="617"/>
      <c r="EJ22" s="617"/>
      <c r="EK22" s="617"/>
      <c r="EL22" s="617"/>
      <c r="EM22" s="617"/>
      <c r="EN22" s="617"/>
      <c r="EO22" s="617"/>
      <c r="EP22" s="617"/>
      <c r="EQ22" s="617"/>
      <c r="ER22" s="617"/>
      <c r="ES22" s="617"/>
      <c r="ET22" s="617"/>
      <c r="EU22" s="617"/>
      <c r="EV22" s="617"/>
      <c r="EW22" s="617"/>
      <c r="EX22" s="617"/>
      <c r="EY22" s="617"/>
      <c r="EZ22" s="617"/>
      <c r="FA22" s="617"/>
      <c r="FB22" s="617"/>
      <c r="FC22" s="617"/>
      <c r="FD22" s="617"/>
      <c r="FE22" s="617"/>
      <c r="FF22" s="617"/>
      <c r="FG22" s="617"/>
      <c r="FH22" s="617"/>
    </row>
    <row r="23" spans="1:164">
      <c r="A23" s="617" t="s">
        <v>4125</v>
      </c>
      <c r="B23" s="617" t="s">
        <v>4126</v>
      </c>
      <c r="C23" s="617" t="s">
        <v>3929</v>
      </c>
      <c r="D23" s="617"/>
      <c r="E23" s="617"/>
      <c r="F23" s="617"/>
      <c r="G23" s="617"/>
      <c r="H23" s="617"/>
      <c r="I23" s="617"/>
      <c r="J23" s="617"/>
      <c r="K23" s="617"/>
      <c r="L23" s="617"/>
      <c r="M23" s="617"/>
      <c r="N23" s="617"/>
      <c r="O23" s="617"/>
      <c r="P23" s="617"/>
      <c r="Q23" s="617"/>
      <c r="R23" s="617"/>
      <c r="S23" s="617"/>
      <c r="T23" s="617"/>
      <c r="U23" s="617"/>
      <c r="V23" s="617"/>
      <c r="W23" s="617"/>
      <c r="X23" s="617"/>
      <c r="Y23" s="617"/>
      <c r="Z23" s="617"/>
      <c r="AA23" s="617"/>
      <c r="AB23" s="617"/>
      <c r="AC23" s="617"/>
      <c r="AD23" s="617"/>
      <c r="AE23" s="617"/>
      <c r="AF23" s="617"/>
      <c r="AG23" s="617"/>
      <c r="AH23" s="617"/>
      <c r="AI23" s="617"/>
      <c r="AJ23" s="617"/>
      <c r="AK23" s="617"/>
      <c r="AL23" s="617"/>
      <c r="AM23" s="617"/>
      <c r="AN23" s="617"/>
      <c r="AO23" s="617"/>
      <c r="AP23" s="617"/>
      <c r="AQ23" s="617"/>
      <c r="AR23" s="617"/>
      <c r="AS23" s="617"/>
      <c r="AT23" s="617"/>
      <c r="AU23" s="617"/>
      <c r="AV23" s="617"/>
      <c r="AW23" s="617"/>
      <c r="AX23" s="617"/>
      <c r="AY23" s="617"/>
      <c r="AZ23" s="617"/>
      <c r="BA23" s="617"/>
      <c r="BB23" s="617"/>
      <c r="BC23" s="617"/>
      <c r="BD23" s="617"/>
      <c r="BE23" s="617"/>
      <c r="BF23" s="617"/>
      <c r="BG23" s="617"/>
      <c r="BH23" s="617"/>
      <c r="BI23" s="617"/>
      <c r="BJ23" s="617"/>
      <c r="BK23" s="617"/>
      <c r="BL23" s="617"/>
      <c r="BM23" s="617"/>
      <c r="BN23" s="617"/>
      <c r="BO23" s="617"/>
      <c r="BP23" s="617"/>
      <c r="BQ23" s="617"/>
      <c r="BR23" s="617"/>
      <c r="BS23" s="617"/>
      <c r="BT23" s="617"/>
      <c r="BU23" s="617"/>
      <c r="BV23" s="617"/>
      <c r="BW23" s="617"/>
      <c r="BX23" s="617"/>
      <c r="BY23" s="617"/>
      <c r="BZ23" s="617"/>
      <c r="CA23" s="617"/>
      <c r="CB23" s="617"/>
      <c r="CC23" s="617"/>
      <c r="CD23" s="617"/>
      <c r="CE23" s="617"/>
      <c r="CF23" s="617"/>
      <c r="CG23" s="617"/>
      <c r="CH23" s="617"/>
      <c r="CI23" s="617"/>
      <c r="CJ23" s="617"/>
      <c r="CK23" s="617"/>
      <c r="CL23" s="617"/>
      <c r="CM23" s="617"/>
      <c r="CN23" s="617"/>
      <c r="CO23" s="617"/>
      <c r="CP23" s="617"/>
      <c r="CQ23" s="617"/>
      <c r="CR23" s="617"/>
      <c r="CS23" s="617"/>
      <c r="CT23" s="617"/>
      <c r="CU23" s="617"/>
      <c r="CV23" s="617"/>
      <c r="CW23" s="617"/>
      <c r="CX23" s="617"/>
      <c r="CY23" s="617"/>
      <c r="CZ23" s="617"/>
      <c r="DA23" s="617"/>
      <c r="DB23" s="617"/>
      <c r="DC23" s="617"/>
      <c r="DD23" s="617"/>
      <c r="DE23" s="617"/>
      <c r="DF23" s="617"/>
      <c r="DG23" s="617"/>
      <c r="DH23" s="617"/>
      <c r="DI23" s="617"/>
      <c r="DJ23" s="617"/>
      <c r="DK23" s="617"/>
      <c r="DL23" s="617"/>
      <c r="DM23" s="617"/>
      <c r="DN23" s="617"/>
      <c r="DO23" s="617"/>
      <c r="DP23" s="617"/>
      <c r="DQ23" s="617"/>
      <c r="DR23" s="617"/>
      <c r="DS23" s="617"/>
      <c r="DT23" s="617"/>
      <c r="DU23" s="617"/>
      <c r="DV23" s="617"/>
      <c r="DW23" s="617"/>
      <c r="DX23" s="617"/>
      <c r="DY23" s="617"/>
      <c r="DZ23" s="617"/>
      <c r="EA23" s="617"/>
      <c r="EB23" s="617"/>
      <c r="EC23" s="617"/>
      <c r="ED23" s="617"/>
      <c r="EE23" s="617"/>
      <c r="EF23" s="617"/>
      <c r="EG23" s="617"/>
      <c r="EH23" s="617"/>
      <c r="EI23" s="617"/>
      <c r="EJ23" s="617"/>
      <c r="EK23" s="617"/>
      <c r="EL23" s="617"/>
      <c r="EM23" s="617"/>
      <c r="EN23" s="617"/>
      <c r="EO23" s="617"/>
      <c r="EP23" s="617"/>
      <c r="EQ23" s="617"/>
      <c r="ER23" s="617"/>
      <c r="ES23" s="617"/>
      <c r="ET23" s="617"/>
      <c r="EU23" s="617"/>
      <c r="EV23" s="617"/>
      <c r="EW23" s="617"/>
      <c r="EX23" s="617"/>
      <c r="EY23" s="617"/>
      <c r="EZ23" s="617"/>
      <c r="FA23" s="617"/>
      <c r="FB23" s="617"/>
      <c r="FC23" s="617"/>
      <c r="FD23" s="617"/>
      <c r="FE23" s="617"/>
      <c r="FF23" s="617"/>
      <c r="FG23" s="617"/>
      <c r="FH23" s="617"/>
    </row>
    <row r="24" spans="1:164">
      <c r="A24" s="617" t="s">
        <v>4127</v>
      </c>
      <c r="B24" s="617" t="s">
        <v>2477</v>
      </c>
      <c r="C24" s="617" t="s">
        <v>437</v>
      </c>
      <c r="D24" s="617" t="s">
        <v>346</v>
      </c>
      <c r="E24" s="617"/>
      <c r="F24" s="617"/>
      <c r="G24" s="617"/>
      <c r="H24" s="617"/>
      <c r="I24" s="617"/>
      <c r="J24" s="617"/>
      <c r="K24" s="617"/>
      <c r="L24" s="617"/>
      <c r="M24" s="617"/>
      <c r="N24" s="617"/>
      <c r="O24" s="617"/>
      <c r="P24" s="617"/>
      <c r="Q24" s="617"/>
      <c r="R24" s="617"/>
      <c r="S24" s="617"/>
      <c r="T24" s="617"/>
      <c r="U24" s="617"/>
      <c r="V24" s="617"/>
      <c r="W24" s="617"/>
      <c r="X24" s="617"/>
      <c r="Y24" s="617"/>
      <c r="Z24" s="617"/>
      <c r="AA24" s="617"/>
      <c r="AB24" s="617"/>
      <c r="AC24" s="617"/>
      <c r="AD24" s="617"/>
      <c r="AE24" s="617"/>
      <c r="AF24" s="617"/>
      <c r="AG24" s="617"/>
      <c r="AH24" s="617"/>
      <c r="AI24" s="617"/>
      <c r="AJ24" s="617"/>
      <c r="AK24" s="617"/>
      <c r="AL24" s="617"/>
      <c r="AM24" s="617"/>
      <c r="AN24" s="617"/>
      <c r="AO24" s="617"/>
      <c r="AP24" s="617"/>
      <c r="AQ24" s="617"/>
      <c r="AR24" s="617"/>
      <c r="AS24" s="617"/>
      <c r="AT24" s="617"/>
      <c r="AU24" s="617"/>
      <c r="AV24" s="617"/>
      <c r="AW24" s="617"/>
      <c r="AX24" s="617"/>
      <c r="AY24" s="617"/>
      <c r="AZ24" s="617"/>
      <c r="BA24" s="617"/>
      <c r="BB24" s="617"/>
      <c r="BC24" s="617"/>
      <c r="BD24" s="617"/>
      <c r="BE24" s="617"/>
      <c r="BF24" s="617"/>
      <c r="BG24" s="617"/>
      <c r="BH24" s="617"/>
      <c r="BI24" s="617"/>
      <c r="BJ24" s="617"/>
      <c r="BK24" s="617"/>
      <c r="BL24" s="617"/>
      <c r="BM24" s="617"/>
      <c r="BN24" s="617"/>
      <c r="BO24" s="617"/>
      <c r="BP24" s="617"/>
      <c r="BQ24" s="617"/>
      <c r="BR24" s="617"/>
      <c r="BS24" s="617"/>
      <c r="BT24" s="617"/>
      <c r="BU24" s="617"/>
      <c r="BV24" s="617"/>
      <c r="BW24" s="617"/>
      <c r="BX24" s="617"/>
      <c r="BY24" s="617"/>
      <c r="BZ24" s="617"/>
      <c r="CA24" s="617"/>
      <c r="CB24" s="617"/>
      <c r="CC24" s="617"/>
      <c r="CD24" s="617"/>
      <c r="CE24" s="617"/>
      <c r="CF24" s="617"/>
      <c r="CG24" s="617"/>
      <c r="CH24" s="617"/>
      <c r="CI24" s="617"/>
      <c r="CJ24" s="617"/>
      <c r="CK24" s="617"/>
      <c r="CL24" s="617"/>
      <c r="CM24" s="617"/>
      <c r="CN24" s="617"/>
      <c r="CO24" s="617"/>
      <c r="CP24" s="617"/>
      <c r="CQ24" s="617"/>
      <c r="CR24" s="617"/>
      <c r="CS24" s="617"/>
      <c r="CT24" s="617"/>
      <c r="CU24" s="617"/>
      <c r="CV24" s="617"/>
      <c r="CW24" s="617"/>
      <c r="CX24" s="617"/>
      <c r="CY24" s="617"/>
      <c r="CZ24" s="617"/>
      <c r="DA24" s="617"/>
      <c r="DB24" s="617"/>
      <c r="DC24" s="617"/>
      <c r="DD24" s="617"/>
      <c r="DE24" s="617"/>
      <c r="DF24" s="617"/>
      <c r="DG24" s="617"/>
      <c r="DH24" s="617"/>
      <c r="DI24" s="617"/>
      <c r="DJ24" s="617"/>
      <c r="DK24" s="617"/>
      <c r="DL24" s="617"/>
      <c r="DM24" s="617"/>
      <c r="DN24" s="617"/>
      <c r="DO24" s="617"/>
      <c r="DP24" s="617"/>
      <c r="DQ24" s="617"/>
      <c r="DR24" s="617"/>
      <c r="DS24" s="617"/>
      <c r="DT24" s="617"/>
      <c r="DU24" s="617"/>
      <c r="DV24" s="617"/>
      <c r="DW24" s="617"/>
      <c r="DX24" s="617"/>
      <c r="DY24" s="617"/>
      <c r="DZ24" s="617"/>
      <c r="EA24" s="617"/>
      <c r="EB24" s="617"/>
      <c r="EC24" s="617"/>
      <c r="ED24" s="617"/>
      <c r="EE24" s="617"/>
      <c r="EF24" s="617"/>
      <c r="EG24" s="617"/>
      <c r="EH24" s="617"/>
      <c r="EI24" s="617"/>
      <c r="EJ24" s="617"/>
      <c r="EK24" s="617"/>
      <c r="EL24" s="617"/>
      <c r="EM24" s="617"/>
      <c r="EN24" s="617"/>
      <c r="EO24" s="617"/>
      <c r="EP24" s="617"/>
      <c r="EQ24" s="617"/>
      <c r="ER24" s="617"/>
      <c r="ES24" s="617"/>
      <c r="ET24" s="617"/>
      <c r="EU24" s="617"/>
      <c r="EV24" s="617"/>
      <c r="EW24" s="617"/>
      <c r="EX24" s="617"/>
      <c r="EY24" s="617"/>
      <c r="EZ24" s="617"/>
      <c r="FA24" s="617"/>
      <c r="FB24" s="617"/>
      <c r="FC24" s="617"/>
      <c r="FD24" s="617"/>
      <c r="FE24" s="617"/>
      <c r="FF24" s="617"/>
      <c r="FG24" s="617"/>
      <c r="FH24" s="617"/>
    </row>
    <row r="25" spans="1:164">
      <c r="A25" s="617" t="s">
        <v>4128</v>
      </c>
      <c r="B25" s="617" t="s">
        <v>2479</v>
      </c>
      <c r="C25" s="617" t="s">
        <v>3083</v>
      </c>
      <c r="D25" s="617" t="s">
        <v>4129</v>
      </c>
      <c r="E25" s="617" t="s">
        <v>441</v>
      </c>
      <c r="F25" s="617" t="s">
        <v>4130</v>
      </c>
      <c r="G25" s="617" t="s">
        <v>442</v>
      </c>
      <c r="H25" s="617" t="s">
        <v>3082</v>
      </c>
      <c r="I25" s="617" t="s">
        <v>434</v>
      </c>
      <c r="J25" s="617"/>
      <c r="K25" s="617"/>
      <c r="L25" s="617"/>
      <c r="M25" s="617"/>
      <c r="N25" s="617"/>
      <c r="O25" s="617"/>
      <c r="P25" s="617"/>
      <c r="Q25" s="617"/>
      <c r="R25" s="617"/>
      <c r="S25" s="617"/>
      <c r="T25" s="617"/>
      <c r="U25" s="617"/>
      <c r="V25" s="617"/>
      <c r="W25" s="617"/>
      <c r="X25" s="617"/>
      <c r="Y25" s="617"/>
      <c r="Z25" s="617"/>
      <c r="AA25" s="617"/>
      <c r="AB25" s="617"/>
      <c r="AC25" s="617"/>
      <c r="AD25" s="617"/>
      <c r="AE25" s="617"/>
      <c r="AF25" s="617"/>
      <c r="AG25" s="617"/>
      <c r="AH25" s="617"/>
      <c r="AI25" s="617"/>
      <c r="AJ25" s="617"/>
      <c r="AK25" s="617"/>
      <c r="AL25" s="617"/>
      <c r="AM25" s="617"/>
      <c r="AN25" s="617"/>
      <c r="AO25" s="617"/>
      <c r="AP25" s="617"/>
      <c r="AQ25" s="617"/>
      <c r="AR25" s="617"/>
      <c r="AS25" s="617"/>
      <c r="AT25" s="617"/>
      <c r="AU25" s="617"/>
      <c r="AV25" s="617"/>
      <c r="AW25" s="617"/>
      <c r="AX25" s="617"/>
      <c r="AY25" s="617"/>
      <c r="AZ25" s="617"/>
      <c r="BA25" s="617"/>
      <c r="BB25" s="617"/>
      <c r="BC25" s="617"/>
      <c r="BD25" s="617"/>
      <c r="BE25" s="617"/>
      <c r="BF25" s="617"/>
      <c r="BG25" s="617"/>
      <c r="BH25" s="617"/>
      <c r="BI25" s="617"/>
      <c r="BJ25" s="617"/>
      <c r="BK25" s="617"/>
      <c r="BL25" s="617"/>
      <c r="BM25" s="617"/>
      <c r="BN25" s="617"/>
      <c r="BO25" s="617"/>
      <c r="BP25" s="617"/>
      <c r="BQ25" s="617"/>
      <c r="BR25" s="617"/>
      <c r="BS25" s="617"/>
      <c r="BT25" s="617"/>
      <c r="BU25" s="617"/>
      <c r="BV25" s="617"/>
      <c r="BW25" s="617"/>
      <c r="BX25" s="617"/>
      <c r="BY25" s="617"/>
      <c r="BZ25" s="617"/>
      <c r="CA25" s="617"/>
      <c r="CB25" s="617"/>
      <c r="CC25" s="617"/>
      <c r="CD25" s="617"/>
      <c r="CE25" s="617"/>
      <c r="CF25" s="617"/>
      <c r="CG25" s="617"/>
      <c r="CH25" s="617"/>
      <c r="CI25" s="617"/>
      <c r="CJ25" s="617"/>
      <c r="CK25" s="617"/>
      <c r="CL25" s="617"/>
      <c r="CM25" s="617"/>
      <c r="CN25" s="617"/>
      <c r="CO25" s="617"/>
      <c r="CP25" s="617"/>
      <c r="CQ25" s="617"/>
      <c r="CR25" s="617"/>
      <c r="CS25" s="617"/>
      <c r="CT25" s="617"/>
      <c r="CU25" s="617"/>
      <c r="CV25" s="617"/>
      <c r="CW25" s="617"/>
      <c r="CX25" s="617"/>
      <c r="CY25" s="617"/>
      <c r="CZ25" s="617"/>
      <c r="DA25" s="617"/>
      <c r="DB25" s="617"/>
      <c r="DC25" s="617"/>
      <c r="DD25" s="617"/>
      <c r="DE25" s="617"/>
      <c r="DF25" s="617"/>
      <c r="DG25" s="617"/>
      <c r="DH25" s="617"/>
      <c r="DI25" s="617"/>
      <c r="DJ25" s="617"/>
      <c r="DK25" s="617"/>
      <c r="DL25" s="617"/>
      <c r="DM25" s="617"/>
      <c r="DN25" s="617"/>
      <c r="DO25" s="617"/>
      <c r="DP25" s="617"/>
      <c r="DQ25" s="617"/>
      <c r="DR25" s="617"/>
      <c r="DS25" s="617"/>
      <c r="DT25" s="617"/>
      <c r="DU25" s="617"/>
      <c r="DV25" s="617"/>
      <c r="DW25" s="617"/>
      <c r="DX25" s="617"/>
      <c r="DY25" s="617"/>
      <c r="DZ25" s="617"/>
      <c r="EA25" s="617"/>
      <c r="EB25" s="617"/>
      <c r="EC25" s="617"/>
      <c r="ED25" s="617"/>
      <c r="EE25" s="617"/>
      <c r="EF25" s="617"/>
      <c r="EG25" s="617"/>
      <c r="EH25" s="617"/>
      <c r="EI25" s="617"/>
      <c r="EJ25" s="617"/>
      <c r="EK25" s="617"/>
      <c r="EL25" s="617"/>
      <c r="EM25" s="617"/>
      <c r="EN25" s="617"/>
      <c r="EO25" s="617"/>
      <c r="EP25" s="617"/>
      <c r="EQ25" s="617"/>
      <c r="ER25" s="617"/>
      <c r="ES25" s="617"/>
      <c r="ET25" s="617"/>
      <c r="EU25" s="617"/>
      <c r="EV25" s="617"/>
      <c r="EW25" s="617"/>
      <c r="EX25" s="617"/>
      <c r="EY25" s="617"/>
      <c r="EZ25" s="617"/>
      <c r="FA25" s="617"/>
      <c r="FB25" s="617"/>
      <c r="FC25" s="617"/>
      <c r="FD25" s="617"/>
      <c r="FE25" s="617"/>
      <c r="FF25" s="617"/>
      <c r="FG25" s="617"/>
      <c r="FH25" s="617"/>
    </row>
    <row r="26" spans="1:164">
      <c r="A26" s="617" t="s">
        <v>4131</v>
      </c>
      <c r="B26" s="617" t="s">
        <v>2227</v>
      </c>
      <c r="C26" s="617" t="s">
        <v>422</v>
      </c>
      <c r="D26" s="617" t="s">
        <v>467</v>
      </c>
      <c r="E26" s="617" t="s">
        <v>468</v>
      </c>
      <c r="F26" s="617" t="s">
        <v>2228</v>
      </c>
      <c r="G26" s="617" t="s">
        <v>2229</v>
      </c>
      <c r="H26" s="617" t="s">
        <v>2230</v>
      </c>
      <c r="I26" s="617"/>
      <c r="J26" s="617"/>
      <c r="K26" s="617"/>
      <c r="L26" s="617"/>
      <c r="M26" s="617"/>
      <c r="N26" s="617"/>
      <c r="O26" s="617"/>
      <c r="P26" s="617"/>
      <c r="Q26" s="617"/>
      <c r="R26" s="617"/>
      <c r="S26" s="617"/>
      <c r="T26" s="617"/>
      <c r="U26" s="617"/>
      <c r="V26" s="617"/>
      <c r="W26" s="617"/>
      <c r="X26" s="617"/>
      <c r="Y26" s="617"/>
      <c r="Z26" s="617"/>
      <c r="AA26" s="617"/>
      <c r="AB26" s="617"/>
      <c r="AC26" s="617"/>
      <c r="AD26" s="617"/>
      <c r="AE26" s="617"/>
      <c r="AF26" s="617"/>
      <c r="AG26" s="617"/>
      <c r="AH26" s="617"/>
      <c r="AI26" s="617"/>
      <c r="AJ26" s="617"/>
      <c r="AK26" s="617"/>
      <c r="AL26" s="617"/>
      <c r="AM26" s="617"/>
      <c r="AN26" s="617"/>
      <c r="AO26" s="617"/>
      <c r="AP26" s="617"/>
      <c r="AQ26" s="617"/>
      <c r="AR26" s="617"/>
      <c r="AS26" s="617"/>
      <c r="AT26" s="617"/>
      <c r="AU26" s="617"/>
      <c r="AV26" s="617"/>
      <c r="AW26" s="617"/>
      <c r="AX26" s="617"/>
      <c r="AY26" s="617"/>
      <c r="AZ26" s="617"/>
      <c r="BA26" s="617"/>
      <c r="BB26" s="617"/>
      <c r="BC26" s="617"/>
      <c r="BD26" s="617"/>
      <c r="BE26" s="617"/>
      <c r="BF26" s="617"/>
      <c r="BG26" s="617"/>
      <c r="BH26" s="617"/>
      <c r="BI26" s="617"/>
      <c r="BJ26" s="617"/>
      <c r="BK26" s="617"/>
      <c r="BL26" s="617"/>
      <c r="BM26" s="617"/>
      <c r="BN26" s="617"/>
      <c r="BO26" s="617"/>
      <c r="BP26" s="617"/>
      <c r="BQ26" s="617"/>
      <c r="BR26" s="617"/>
      <c r="BS26" s="617"/>
      <c r="BT26" s="617"/>
      <c r="BU26" s="617"/>
      <c r="BV26" s="617"/>
      <c r="BW26" s="617"/>
      <c r="BX26" s="617"/>
      <c r="BY26" s="617"/>
      <c r="BZ26" s="617"/>
      <c r="CA26" s="617"/>
      <c r="CB26" s="617"/>
      <c r="CC26" s="617"/>
      <c r="CD26" s="617"/>
      <c r="CE26" s="617"/>
      <c r="CF26" s="617"/>
      <c r="CG26" s="617"/>
      <c r="CH26" s="617"/>
      <c r="CI26" s="617"/>
      <c r="CJ26" s="617"/>
      <c r="CK26" s="617"/>
      <c r="CL26" s="617"/>
      <c r="CM26" s="617"/>
      <c r="CN26" s="617"/>
      <c r="CO26" s="617"/>
      <c r="CP26" s="617"/>
      <c r="CQ26" s="617"/>
      <c r="CR26" s="617"/>
      <c r="CS26" s="617"/>
      <c r="CT26" s="617"/>
      <c r="CU26" s="617"/>
      <c r="CV26" s="617"/>
      <c r="CW26" s="617"/>
      <c r="CX26" s="617"/>
      <c r="CY26" s="617"/>
      <c r="CZ26" s="617"/>
      <c r="DA26" s="617"/>
      <c r="DB26" s="617"/>
      <c r="DC26" s="617"/>
      <c r="DD26" s="617"/>
      <c r="DE26" s="617"/>
      <c r="DF26" s="617"/>
      <c r="DG26" s="617"/>
      <c r="DH26" s="617"/>
      <c r="DI26" s="617"/>
      <c r="DJ26" s="617"/>
      <c r="DK26" s="617"/>
      <c r="DL26" s="617"/>
      <c r="DM26" s="617"/>
      <c r="DN26" s="617"/>
      <c r="DO26" s="617"/>
      <c r="DP26" s="617"/>
      <c r="DQ26" s="617"/>
      <c r="DR26" s="617"/>
      <c r="DS26" s="617"/>
      <c r="DT26" s="617"/>
      <c r="DU26" s="617"/>
      <c r="DV26" s="617"/>
      <c r="DW26" s="617"/>
      <c r="DX26" s="617"/>
      <c r="DY26" s="617"/>
      <c r="DZ26" s="617"/>
      <c r="EA26" s="617"/>
      <c r="EB26" s="617"/>
      <c r="EC26" s="617"/>
      <c r="ED26" s="617"/>
      <c r="EE26" s="617"/>
      <c r="EF26" s="617"/>
      <c r="EG26" s="617"/>
      <c r="EH26" s="617"/>
      <c r="EI26" s="617"/>
      <c r="EJ26" s="617"/>
      <c r="EK26" s="617"/>
      <c r="EL26" s="617"/>
      <c r="EM26" s="617"/>
      <c r="EN26" s="617"/>
      <c r="EO26" s="617"/>
      <c r="EP26" s="617"/>
      <c r="EQ26" s="617"/>
      <c r="ER26" s="617"/>
      <c r="ES26" s="617"/>
      <c r="ET26" s="617"/>
      <c r="EU26" s="617"/>
      <c r="EV26" s="617"/>
      <c r="EW26" s="617"/>
      <c r="EX26" s="617"/>
      <c r="EY26" s="617"/>
      <c r="EZ26" s="617"/>
      <c r="FA26" s="617"/>
      <c r="FB26" s="617"/>
      <c r="FC26" s="617"/>
      <c r="FD26" s="617"/>
      <c r="FE26" s="617"/>
      <c r="FF26" s="617"/>
      <c r="FG26" s="617"/>
      <c r="FH26" s="617"/>
    </row>
    <row r="27" spans="1:164">
      <c r="A27" s="617" t="s">
        <v>4132</v>
      </c>
      <c r="B27" s="617" t="s">
        <v>4133</v>
      </c>
      <c r="C27" s="617" t="s">
        <v>4134</v>
      </c>
      <c r="D27" s="617" t="s">
        <v>4135</v>
      </c>
      <c r="E27" s="617" t="s">
        <v>4136</v>
      </c>
      <c r="F27" s="617"/>
      <c r="G27" s="617"/>
      <c r="H27" s="617"/>
      <c r="I27" s="617"/>
      <c r="J27" s="617"/>
      <c r="K27" s="617"/>
      <c r="L27" s="617"/>
      <c r="M27" s="617"/>
      <c r="N27" s="617"/>
      <c r="O27" s="617"/>
      <c r="P27" s="617"/>
      <c r="Q27" s="617"/>
      <c r="R27" s="617"/>
      <c r="S27" s="617"/>
      <c r="T27" s="617"/>
      <c r="U27" s="617"/>
      <c r="V27" s="617"/>
      <c r="W27" s="617"/>
      <c r="X27" s="617"/>
      <c r="Y27" s="617"/>
      <c r="Z27" s="617"/>
      <c r="AA27" s="617"/>
      <c r="AB27" s="617"/>
      <c r="AC27" s="617"/>
      <c r="AD27" s="617"/>
      <c r="AE27" s="617"/>
      <c r="AF27" s="617"/>
      <c r="AG27" s="617"/>
      <c r="AH27" s="617"/>
      <c r="AI27" s="617"/>
      <c r="AJ27" s="617"/>
      <c r="AK27" s="617"/>
      <c r="AL27" s="617"/>
      <c r="AM27" s="617"/>
      <c r="AN27" s="617"/>
      <c r="AO27" s="617"/>
      <c r="AP27" s="617"/>
      <c r="AQ27" s="617"/>
      <c r="AR27" s="617"/>
      <c r="AS27" s="617"/>
      <c r="AT27" s="617"/>
      <c r="AU27" s="617"/>
      <c r="AV27" s="617"/>
      <c r="AW27" s="617"/>
      <c r="AX27" s="617"/>
      <c r="AY27" s="617"/>
      <c r="AZ27" s="617"/>
      <c r="BA27" s="617"/>
      <c r="BB27" s="617"/>
      <c r="BC27" s="617"/>
      <c r="BD27" s="617"/>
      <c r="BE27" s="617"/>
      <c r="BF27" s="617"/>
      <c r="BG27" s="617"/>
      <c r="BH27" s="617"/>
      <c r="BI27" s="617"/>
      <c r="BJ27" s="617"/>
      <c r="BK27" s="617"/>
      <c r="BL27" s="617"/>
      <c r="BM27" s="617"/>
      <c r="BN27" s="617"/>
      <c r="BO27" s="617"/>
      <c r="BP27" s="617"/>
      <c r="BQ27" s="617"/>
      <c r="BR27" s="617"/>
      <c r="BS27" s="617"/>
      <c r="BT27" s="617"/>
      <c r="BU27" s="617"/>
      <c r="BV27" s="617"/>
      <c r="BW27" s="617"/>
      <c r="BX27" s="617"/>
      <c r="BY27" s="617"/>
      <c r="BZ27" s="617"/>
      <c r="CA27" s="617"/>
      <c r="CB27" s="617"/>
      <c r="CC27" s="617"/>
      <c r="CD27" s="617"/>
      <c r="CE27" s="617"/>
      <c r="CF27" s="617"/>
      <c r="CG27" s="617"/>
      <c r="CH27" s="617"/>
      <c r="CI27" s="617"/>
      <c r="CJ27" s="617"/>
      <c r="CK27" s="617"/>
      <c r="CL27" s="617"/>
      <c r="CM27" s="617"/>
      <c r="CN27" s="617"/>
      <c r="CO27" s="617"/>
      <c r="CP27" s="617"/>
      <c r="CQ27" s="617"/>
      <c r="CR27" s="617"/>
      <c r="CS27" s="617"/>
      <c r="CT27" s="617"/>
      <c r="CU27" s="617"/>
      <c r="CV27" s="617"/>
      <c r="CW27" s="617"/>
      <c r="CX27" s="617"/>
      <c r="CY27" s="617"/>
      <c r="CZ27" s="617"/>
      <c r="DA27" s="617"/>
      <c r="DB27" s="617"/>
      <c r="DC27" s="617"/>
      <c r="DD27" s="617"/>
      <c r="DE27" s="617"/>
      <c r="DF27" s="617"/>
      <c r="DG27" s="617"/>
      <c r="DH27" s="617"/>
      <c r="DI27" s="617"/>
      <c r="DJ27" s="617"/>
      <c r="DK27" s="617"/>
      <c r="DL27" s="617"/>
      <c r="DM27" s="617"/>
      <c r="DN27" s="617"/>
      <c r="DO27" s="617"/>
      <c r="DP27" s="617"/>
      <c r="DQ27" s="617"/>
      <c r="DR27" s="617"/>
      <c r="DS27" s="617"/>
      <c r="DT27" s="617"/>
      <c r="DU27" s="617"/>
      <c r="DV27" s="617"/>
      <c r="DW27" s="617"/>
      <c r="DX27" s="617"/>
      <c r="DY27" s="617"/>
      <c r="DZ27" s="617"/>
      <c r="EA27" s="617"/>
      <c r="EB27" s="617"/>
      <c r="EC27" s="617"/>
      <c r="ED27" s="617"/>
      <c r="EE27" s="617"/>
      <c r="EF27" s="617"/>
      <c r="EG27" s="617"/>
      <c r="EH27" s="617"/>
      <c r="EI27" s="617"/>
      <c r="EJ27" s="617"/>
      <c r="EK27" s="617"/>
      <c r="EL27" s="617"/>
      <c r="EM27" s="617"/>
      <c r="EN27" s="617"/>
      <c r="EO27" s="617"/>
      <c r="EP27" s="617"/>
      <c r="EQ27" s="617"/>
      <c r="ER27" s="617"/>
      <c r="ES27" s="617"/>
      <c r="ET27" s="617"/>
      <c r="EU27" s="617"/>
      <c r="EV27" s="617"/>
      <c r="EW27" s="617"/>
      <c r="EX27" s="617"/>
      <c r="EY27" s="617"/>
      <c r="EZ27" s="617"/>
      <c r="FA27" s="617"/>
      <c r="FB27" s="617"/>
      <c r="FC27" s="617"/>
      <c r="FD27" s="617"/>
      <c r="FE27" s="617"/>
      <c r="FF27" s="617"/>
      <c r="FG27" s="617"/>
      <c r="FH27" s="617"/>
    </row>
    <row r="28" spans="1:164">
      <c r="A28" s="617" t="s">
        <v>4137</v>
      </c>
      <c r="B28" s="617" t="s">
        <v>3089</v>
      </c>
      <c r="C28" s="617" t="s">
        <v>3090</v>
      </c>
      <c r="D28" s="617" t="s">
        <v>3091</v>
      </c>
      <c r="E28" s="617"/>
      <c r="F28" s="617"/>
      <c r="G28" s="617"/>
      <c r="H28" s="617"/>
      <c r="I28" s="617"/>
      <c r="J28" s="617"/>
      <c r="K28" s="617"/>
      <c r="L28" s="617"/>
      <c r="M28" s="617"/>
      <c r="N28" s="617"/>
      <c r="O28" s="617"/>
      <c r="P28" s="617"/>
      <c r="Q28" s="617"/>
      <c r="R28" s="617"/>
      <c r="S28" s="617"/>
      <c r="T28" s="617"/>
      <c r="U28" s="617"/>
      <c r="V28" s="617"/>
      <c r="W28" s="617"/>
      <c r="X28" s="617"/>
      <c r="Y28" s="617"/>
      <c r="Z28" s="617"/>
      <c r="AA28" s="617"/>
      <c r="AB28" s="617"/>
      <c r="AC28" s="617"/>
      <c r="AD28" s="617"/>
      <c r="AE28" s="617"/>
      <c r="AF28" s="617"/>
      <c r="AG28" s="617"/>
      <c r="AH28" s="617"/>
      <c r="AI28" s="617"/>
      <c r="AJ28" s="617"/>
      <c r="AK28" s="617"/>
      <c r="AL28" s="617"/>
      <c r="AM28" s="617"/>
      <c r="AN28" s="617"/>
      <c r="AO28" s="617"/>
      <c r="AP28" s="617"/>
      <c r="AQ28" s="617"/>
      <c r="AR28" s="617"/>
      <c r="AS28" s="617"/>
      <c r="AT28" s="617"/>
      <c r="AU28" s="617"/>
      <c r="AV28" s="617"/>
      <c r="AW28" s="617"/>
      <c r="AX28" s="617"/>
      <c r="AY28" s="617"/>
      <c r="AZ28" s="617"/>
      <c r="BA28" s="617"/>
      <c r="BB28" s="617"/>
      <c r="BC28" s="617"/>
      <c r="BD28" s="617"/>
      <c r="BE28" s="617"/>
      <c r="BF28" s="617"/>
      <c r="BG28" s="617"/>
      <c r="BH28" s="617"/>
      <c r="BI28" s="617"/>
      <c r="BJ28" s="617"/>
      <c r="BK28" s="617"/>
      <c r="BL28" s="617"/>
      <c r="BM28" s="617"/>
      <c r="BN28" s="617"/>
      <c r="BO28" s="617"/>
      <c r="BP28" s="617"/>
      <c r="BQ28" s="617"/>
      <c r="BR28" s="617"/>
      <c r="BS28" s="617"/>
      <c r="BT28" s="617"/>
      <c r="BU28" s="617"/>
      <c r="BV28" s="617"/>
      <c r="BW28" s="617"/>
      <c r="BX28" s="617"/>
      <c r="BY28" s="617"/>
      <c r="BZ28" s="617"/>
      <c r="CA28" s="617"/>
      <c r="CB28" s="617"/>
      <c r="CC28" s="617"/>
      <c r="CD28" s="617"/>
      <c r="CE28" s="617"/>
      <c r="CF28" s="617"/>
      <c r="CG28" s="617"/>
      <c r="CH28" s="617"/>
      <c r="CI28" s="617"/>
      <c r="CJ28" s="617"/>
      <c r="CK28" s="617"/>
      <c r="CL28" s="617"/>
      <c r="CM28" s="617"/>
      <c r="CN28" s="617"/>
      <c r="CO28" s="617"/>
      <c r="CP28" s="617"/>
      <c r="CQ28" s="617"/>
      <c r="CR28" s="617"/>
      <c r="CS28" s="617"/>
      <c r="CT28" s="617"/>
      <c r="CU28" s="617"/>
      <c r="CV28" s="617"/>
      <c r="CW28" s="617"/>
      <c r="CX28" s="617"/>
      <c r="CY28" s="617"/>
      <c r="CZ28" s="617"/>
      <c r="DA28" s="617"/>
      <c r="DB28" s="617"/>
      <c r="DC28" s="617"/>
      <c r="DD28" s="617"/>
      <c r="DE28" s="617"/>
      <c r="DF28" s="617"/>
      <c r="DG28" s="617"/>
      <c r="DH28" s="617"/>
      <c r="DI28" s="617"/>
      <c r="DJ28" s="617"/>
      <c r="DK28" s="617"/>
      <c r="DL28" s="617"/>
      <c r="DM28" s="617"/>
      <c r="DN28" s="617"/>
      <c r="DO28" s="617"/>
      <c r="DP28" s="617"/>
      <c r="DQ28" s="617"/>
      <c r="DR28" s="617"/>
      <c r="DS28" s="617"/>
      <c r="DT28" s="617"/>
      <c r="DU28" s="617"/>
      <c r="DV28" s="617"/>
      <c r="DW28" s="617"/>
      <c r="DX28" s="617"/>
      <c r="DY28" s="617"/>
      <c r="DZ28" s="617"/>
      <c r="EA28" s="617"/>
      <c r="EB28" s="617"/>
      <c r="EC28" s="617"/>
      <c r="ED28" s="617"/>
      <c r="EE28" s="617"/>
      <c r="EF28" s="617"/>
      <c r="EG28" s="617"/>
      <c r="EH28" s="617"/>
      <c r="EI28" s="617"/>
      <c r="EJ28" s="617"/>
      <c r="EK28" s="617"/>
      <c r="EL28" s="617"/>
      <c r="EM28" s="617"/>
      <c r="EN28" s="617"/>
      <c r="EO28" s="617"/>
      <c r="EP28" s="617"/>
      <c r="EQ28" s="617"/>
      <c r="ER28" s="617"/>
      <c r="ES28" s="617"/>
      <c r="ET28" s="617"/>
      <c r="EU28" s="617"/>
      <c r="EV28" s="617"/>
      <c r="EW28" s="617"/>
      <c r="EX28" s="617"/>
      <c r="EY28" s="617"/>
      <c r="EZ28" s="617"/>
      <c r="FA28" s="617"/>
      <c r="FB28" s="617"/>
      <c r="FC28" s="617"/>
      <c r="FD28" s="617"/>
      <c r="FE28" s="617"/>
      <c r="FF28" s="617"/>
      <c r="FG28" s="617"/>
      <c r="FH28" s="617"/>
    </row>
    <row r="29" spans="1:164">
      <c r="A29" s="617" t="s">
        <v>4138</v>
      </c>
      <c r="B29" s="617" t="s">
        <v>2479</v>
      </c>
      <c r="C29" s="617" t="s">
        <v>434</v>
      </c>
      <c r="D29" s="617" t="s">
        <v>441</v>
      </c>
      <c r="E29" s="617"/>
      <c r="F29" s="617"/>
      <c r="G29" s="617"/>
      <c r="H29" s="617"/>
      <c r="I29" s="617"/>
      <c r="J29" s="617"/>
      <c r="K29" s="617"/>
      <c r="L29" s="617"/>
      <c r="M29" s="617"/>
      <c r="N29" s="617"/>
      <c r="O29" s="617"/>
      <c r="P29" s="617"/>
      <c r="Q29" s="617"/>
      <c r="R29" s="617"/>
      <c r="S29" s="617"/>
      <c r="T29" s="617"/>
      <c r="U29" s="617"/>
      <c r="V29" s="617"/>
      <c r="W29" s="617"/>
      <c r="X29" s="617"/>
      <c r="Y29" s="617"/>
      <c r="Z29" s="617"/>
      <c r="AA29" s="617"/>
      <c r="AB29" s="617"/>
      <c r="AC29" s="617"/>
      <c r="AD29" s="617"/>
      <c r="AE29" s="617"/>
      <c r="AF29" s="617"/>
      <c r="AG29" s="617"/>
      <c r="AH29" s="617"/>
      <c r="AI29" s="617"/>
      <c r="AJ29" s="617"/>
      <c r="AK29" s="617"/>
      <c r="AL29" s="617"/>
      <c r="AM29" s="617"/>
      <c r="AN29" s="617"/>
      <c r="AO29" s="617"/>
      <c r="AP29" s="617"/>
      <c r="AQ29" s="617"/>
      <c r="AR29" s="617"/>
      <c r="AS29" s="617"/>
      <c r="AT29" s="617"/>
      <c r="AU29" s="617"/>
      <c r="AV29" s="617"/>
      <c r="AW29" s="617"/>
      <c r="AX29" s="617"/>
      <c r="AY29" s="617"/>
      <c r="AZ29" s="617"/>
      <c r="BA29" s="617"/>
      <c r="BB29" s="617"/>
      <c r="BC29" s="617"/>
      <c r="BD29" s="617"/>
      <c r="BE29" s="617"/>
      <c r="BF29" s="617"/>
      <c r="BG29" s="617"/>
      <c r="BH29" s="617"/>
      <c r="BI29" s="617"/>
      <c r="BJ29" s="617"/>
      <c r="BK29" s="617"/>
      <c r="BL29" s="617"/>
      <c r="BM29" s="617"/>
      <c r="BN29" s="617"/>
      <c r="BO29" s="617"/>
      <c r="BP29" s="617"/>
      <c r="BQ29" s="617"/>
      <c r="BR29" s="617"/>
      <c r="BS29" s="617"/>
      <c r="BT29" s="617"/>
      <c r="BU29" s="617"/>
      <c r="BV29" s="617"/>
      <c r="BW29" s="617"/>
      <c r="BX29" s="617"/>
      <c r="BY29" s="617"/>
      <c r="BZ29" s="617"/>
      <c r="CA29" s="617"/>
      <c r="CB29" s="617"/>
      <c r="CC29" s="617"/>
      <c r="CD29" s="617"/>
      <c r="CE29" s="617"/>
      <c r="CF29" s="617"/>
      <c r="CG29" s="617"/>
      <c r="CH29" s="617"/>
      <c r="CI29" s="617"/>
      <c r="CJ29" s="617"/>
      <c r="CK29" s="617"/>
      <c r="CL29" s="617"/>
      <c r="CM29" s="617"/>
      <c r="CN29" s="617"/>
      <c r="CO29" s="617"/>
      <c r="CP29" s="617"/>
      <c r="CQ29" s="617"/>
      <c r="CR29" s="617"/>
      <c r="CS29" s="617"/>
      <c r="CT29" s="617"/>
      <c r="CU29" s="617"/>
      <c r="CV29" s="617"/>
      <c r="CW29" s="617"/>
      <c r="CX29" s="617"/>
      <c r="CY29" s="617"/>
      <c r="CZ29" s="617"/>
      <c r="DA29" s="617"/>
      <c r="DB29" s="617"/>
      <c r="DC29" s="617"/>
      <c r="DD29" s="617"/>
      <c r="DE29" s="617"/>
      <c r="DF29" s="617"/>
      <c r="DG29" s="617"/>
      <c r="DH29" s="617"/>
      <c r="DI29" s="617"/>
      <c r="DJ29" s="617"/>
      <c r="DK29" s="617"/>
      <c r="DL29" s="617"/>
      <c r="DM29" s="617"/>
      <c r="DN29" s="617"/>
      <c r="DO29" s="617"/>
      <c r="DP29" s="617"/>
      <c r="DQ29" s="617"/>
      <c r="DR29" s="617"/>
      <c r="DS29" s="617"/>
      <c r="DT29" s="617"/>
      <c r="DU29" s="617"/>
      <c r="DV29" s="617"/>
      <c r="DW29" s="617"/>
      <c r="DX29" s="617"/>
      <c r="DY29" s="617"/>
      <c r="DZ29" s="617"/>
      <c r="EA29" s="617"/>
      <c r="EB29" s="617"/>
      <c r="EC29" s="617"/>
      <c r="ED29" s="617"/>
      <c r="EE29" s="617"/>
      <c r="EF29" s="617"/>
      <c r="EG29" s="617"/>
      <c r="EH29" s="617"/>
      <c r="EI29" s="617"/>
      <c r="EJ29" s="617"/>
      <c r="EK29" s="617"/>
      <c r="EL29" s="617"/>
      <c r="EM29" s="617"/>
      <c r="EN29" s="617"/>
      <c r="EO29" s="617"/>
      <c r="EP29" s="617"/>
      <c r="EQ29" s="617"/>
      <c r="ER29" s="617"/>
      <c r="ES29" s="617"/>
      <c r="ET29" s="617"/>
      <c r="EU29" s="617"/>
      <c r="EV29" s="617"/>
      <c r="EW29" s="617"/>
      <c r="EX29" s="617"/>
      <c r="EY29" s="617"/>
      <c r="EZ29" s="617"/>
      <c r="FA29" s="617"/>
      <c r="FB29" s="617"/>
      <c r="FC29" s="617"/>
      <c r="FD29" s="617"/>
      <c r="FE29" s="617"/>
      <c r="FF29" s="617"/>
      <c r="FG29" s="617"/>
      <c r="FH29" s="617"/>
    </row>
    <row r="30" spans="1:164">
      <c r="A30" s="617" t="s">
        <v>4139</v>
      </c>
      <c r="B30" s="617" t="s">
        <v>4140</v>
      </c>
      <c r="C30" s="617" t="s">
        <v>2231</v>
      </c>
      <c r="D30" s="617" t="s">
        <v>748</v>
      </c>
      <c r="E30" s="617" t="s">
        <v>2232</v>
      </c>
      <c r="F30" s="617" t="s">
        <v>2233</v>
      </c>
      <c r="G30" s="617" t="s">
        <v>700</v>
      </c>
      <c r="H30" s="617" t="s">
        <v>988</v>
      </c>
      <c r="I30" s="617" t="s">
        <v>2234</v>
      </c>
      <c r="J30" s="617" t="s">
        <v>2235</v>
      </c>
      <c r="K30" s="617" t="s">
        <v>2236</v>
      </c>
      <c r="L30" s="617" t="s">
        <v>202</v>
      </c>
      <c r="M30" s="617" t="s">
        <v>2237</v>
      </c>
      <c r="N30" s="617" t="s">
        <v>5</v>
      </c>
      <c r="O30" s="617" t="s">
        <v>747</v>
      </c>
      <c r="P30" s="617" t="s">
        <v>755</v>
      </c>
      <c r="Q30" s="617" t="s">
        <v>904</v>
      </c>
      <c r="R30" s="617"/>
      <c r="S30" s="617"/>
      <c r="T30" s="617"/>
      <c r="U30" s="617"/>
      <c r="V30" s="617"/>
      <c r="W30" s="617"/>
      <c r="X30" s="617"/>
      <c r="Y30" s="617"/>
      <c r="Z30" s="617"/>
      <c r="AA30" s="617"/>
      <c r="AB30" s="617"/>
      <c r="AC30" s="617"/>
      <c r="AD30" s="617"/>
      <c r="AE30" s="617"/>
      <c r="AF30" s="617"/>
      <c r="AG30" s="617"/>
      <c r="AH30" s="617"/>
      <c r="AI30" s="617"/>
      <c r="AJ30" s="617"/>
      <c r="AK30" s="617"/>
      <c r="AL30" s="617"/>
      <c r="AM30" s="617"/>
      <c r="AN30" s="617"/>
      <c r="AO30" s="617"/>
      <c r="AP30" s="617"/>
      <c r="AQ30" s="617"/>
      <c r="AR30" s="617"/>
      <c r="AS30" s="617"/>
      <c r="AT30" s="617"/>
      <c r="AU30" s="617"/>
      <c r="AV30" s="617"/>
      <c r="AW30" s="617"/>
      <c r="AX30" s="617"/>
      <c r="AY30" s="617"/>
      <c r="AZ30" s="617"/>
      <c r="BA30" s="617"/>
      <c r="BB30" s="617"/>
      <c r="BC30" s="617"/>
      <c r="BD30" s="617"/>
      <c r="BE30" s="617"/>
      <c r="BF30" s="617"/>
      <c r="BG30" s="617"/>
      <c r="BH30" s="617"/>
      <c r="BI30" s="617"/>
      <c r="BJ30" s="617"/>
      <c r="BK30" s="617"/>
      <c r="BL30" s="617"/>
      <c r="BM30" s="617"/>
      <c r="BN30" s="617"/>
      <c r="BO30" s="617"/>
      <c r="BP30" s="617"/>
      <c r="BQ30" s="617"/>
      <c r="BR30" s="617"/>
      <c r="BS30" s="617"/>
      <c r="BT30" s="617"/>
      <c r="BU30" s="617"/>
      <c r="BV30" s="617"/>
      <c r="BW30" s="617"/>
      <c r="BX30" s="617"/>
      <c r="BY30" s="617"/>
      <c r="BZ30" s="617"/>
      <c r="CA30" s="617"/>
      <c r="CB30" s="617"/>
      <c r="CC30" s="617"/>
      <c r="CD30" s="617"/>
      <c r="CE30" s="617"/>
      <c r="CF30" s="617"/>
      <c r="CG30" s="617"/>
      <c r="CH30" s="617"/>
      <c r="CI30" s="617"/>
      <c r="CJ30" s="617"/>
      <c r="CK30" s="617"/>
      <c r="CL30" s="617"/>
      <c r="CM30" s="617"/>
      <c r="CN30" s="617"/>
      <c r="CO30" s="617"/>
      <c r="CP30" s="617"/>
      <c r="CQ30" s="617"/>
      <c r="CR30" s="617"/>
      <c r="CS30" s="617"/>
      <c r="CT30" s="617"/>
      <c r="CU30" s="617"/>
      <c r="CV30" s="617"/>
      <c r="CW30" s="617"/>
      <c r="CX30" s="617"/>
      <c r="CY30" s="617"/>
      <c r="CZ30" s="617"/>
      <c r="DA30" s="617"/>
      <c r="DB30" s="617"/>
      <c r="DC30" s="617"/>
      <c r="DD30" s="617"/>
      <c r="DE30" s="617"/>
      <c r="DF30" s="617"/>
      <c r="DG30" s="617"/>
      <c r="DH30" s="617"/>
      <c r="DI30" s="617"/>
      <c r="DJ30" s="617"/>
      <c r="DK30" s="617"/>
      <c r="DL30" s="617"/>
      <c r="DM30" s="617"/>
      <c r="DN30" s="617"/>
      <c r="DO30" s="617"/>
      <c r="DP30" s="617"/>
      <c r="DQ30" s="617"/>
      <c r="DR30" s="617"/>
      <c r="DS30" s="617"/>
      <c r="DT30" s="617"/>
      <c r="DU30" s="617"/>
      <c r="DV30" s="617"/>
      <c r="DW30" s="617"/>
      <c r="DX30" s="617"/>
      <c r="DY30" s="617"/>
      <c r="DZ30" s="617"/>
      <c r="EA30" s="617"/>
      <c r="EB30" s="617"/>
      <c r="EC30" s="617"/>
      <c r="ED30" s="617"/>
      <c r="EE30" s="617"/>
      <c r="EF30" s="617"/>
      <c r="EG30" s="617"/>
      <c r="EH30" s="617"/>
      <c r="EI30" s="617"/>
      <c r="EJ30" s="617"/>
      <c r="EK30" s="617"/>
      <c r="EL30" s="617"/>
      <c r="EM30" s="617"/>
      <c r="EN30" s="617"/>
      <c r="EO30" s="617"/>
      <c r="EP30" s="617"/>
      <c r="EQ30" s="617"/>
      <c r="ER30" s="617"/>
      <c r="ES30" s="617"/>
      <c r="ET30" s="617"/>
      <c r="EU30" s="617"/>
      <c r="EV30" s="617"/>
      <c r="EW30" s="617"/>
      <c r="EX30" s="617"/>
      <c r="EY30" s="617"/>
      <c r="EZ30" s="617"/>
      <c r="FA30" s="617"/>
      <c r="FB30" s="617"/>
      <c r="FC30" s="617"/>
      <c r="FD30" s="617"/>
      <c r="FE30" s="617"/>
      <c r="FF30" s="617"/>
      <c r="FG30" s="617"/>
      <c r="FH30" s="617"/>
    </row>
    <row r="31" spans="1:164">
      <c r="A31" s="617" t="s">
        <v>4141</v>
      </c>
      <c r="B31" s="617" t="s">
        <v>3592</v>
      </c>
      <c r="C31" s="617" t="s">
        <v>3593</v>
      </c>
      <c r="D31" s="617" t="s">
        <v>4142</v>
      </c>
      <c r="E31" s="617" t="s">
        <v>2164</v>
      </c>
      <c r="F31" s="617" t="s">
        <v>4143</v>
      </c>
      <c r="G31" s="617" t="s">
        <v>4813</v>
      </c>
      <c r="H31" s="617" t="s">
        <v>4814</v>
      </c>
      <c r="I31" s="617" t="s">
        <v>2194</v>
      </c>
      <c r="J31" s="617" t="s">
        <v>2195</v>
      </c>
      <c r="K31" s="617" t="s">
        <v>4815</v>
      </c>
      <c r="L31" s="617"/>
      <c r="M31" s="617"/>
      <c r="N31" s="617"/>
      <c r="O31" s="617"/>
      <c r="P31" s="617"/>
      <c r="Q31" s="617"/>
      <c r="R31" s="617"/>
      <c r="S31" s="617"/>
      <c r="T31" s="617"/>
      <c r="U31" s="617"/>
      <c r="V31" s="617"/>
      <c r="W31" s="617"/>
      <c r="X31" s="617"/>
      <c r="Y31" s="617"/>
      <c r="Z31" s="617"/>
      <c r="AA31" s="617"/>
      <c r="AB31" s="617"/>
      <c r="AC31" s="617"/>
      <c r="AD31" s="617"/>
      <c r="AE31" s="617"/>
      <c r="AF31" s="617"/>
      <c r="AG31" s="617"/>
      <c r="AH31" s="617"/>
      <c r="AI31" s="617"/>
      <c r="AJ31" s="617"/>
      <c r="AK31" s="617"/>
      <c r="AL31" s="617"/>
      <c r="AM31" s="617"/>
      <c r="AN31" s="617"/>
      <c r="AO31" s="617"/>
      <c r="AP31" s="617"/>
      <c r="AQ31" s="617"/>
      <c r="AR31" s="617"/>
      <c r="AS31" s="617"/>
      <c r="AT31" s="617"/>
      <c r="AU31" s="617"/>
      <c r="AV31" s="617"/>
      <c r="AW31" s="617"/>
      <c r="AX31" s="617"/>
      <c r="AY31" s="617"/>
      <c r="AZ31" s="617"/>
      <c r="BA31" s="617"/>
      <c r="BB31" s="617"/>
      <c r="BC31" s="617"/>
      <c r="BD31" s="617"/>
      <c r="BE31" s="617"/>
      <c r="BF31" s="617"/>
      <c r="BG31" s="617"/>
      <c r="BH31" s="617"/>
      <c r="BI31" s="617"/>
      <c r="BJ31" s="617"/>
      <c r="BK31" s="617"/>
      <c r="BL31" s="617"/>
      <c r="BM31" s="617"/>
      <c r="BN31" s="617"/>
      <c r="BO31" s="617"/>
      <c r="BP31" s="617"/>
      <c r="BQ31" s="617"/>
      <c r="BR31" s="617"/>
      <c r="BS31" s="617"/>
      <c r="BT31" s="617"/>
      <c r="BU31" s="617"/>
      <c r="BV31" s="617"/>
      <c r="BW31" s="617"/>
      <c r="BX31" s="617"/>
      <c r="BY31" s="617"/>
      <c r="BZ31" s="617"/>
      <c r="CA31" s="617"/>
      <c r="CB31" s="617"/>
      <c r="CC31" s="617"/>
      <c r="CD31" s="617"/>
      <c r="CE31" s="617"/>
      <c r="CF31" s="617"/>
      <c r="CG31" s="617"/>
      <c r="CH31" s="617"/>
      <c r="CI31" s="617"/>
      <c r="CJ31" s="617"/>
      <c r="CK31" s="617"/>
      <c r="CL31" s="617"/>
      <c r="CM31" s="617"/>
      <c r="CN31" s="617"/>
      <c r="CO31" s="617"/>
      <c r="CP31" s="617"/>
      <c r="CQ31" s="617"/>
      <c r="CR31" s="617"/>
      <c r="CS31" s="617"/>
      <c r="CT31" s="617"/>
      <c r="CU31" s="617"/>
      <c r="CV31" s="617"/>
      <c r="CW31" s="617"/>
      <c r="CX31" s="617"/>
      <c r="CY31" s="617"/>
      <c r="CZ31" s="617"/>
      <c r="DA31" s="617"/>
      <c r="DB31" s="617"/>
      <c r="DC31" s="617"/>
      <c r="DD31" s="617"/>
      <c r="DE31" s="617"/>
      <c r="DF31" s="617"/>
      <c r="DG31" s="617"/>
      <c r="DH31" s="617"/>
      <c r="DI31" s="617"/>
      <c r="DJ31" s="617"/>
      <c r="DK31" s="617"/>
      <c r="DL31" s="617"/>
      <c r="DM31" s="617"/>
      <c r="DN31" s="617"/>
      <c r="DO31" s="617"/>
      <c r="DP31" s="617"/>
      <c r="DQ31" s="617"/>
      <c r="DR31" s="617"/>
      <c r="DS31" s="617"/>
      <c r="DT31" s="617"/>
      <c r="DU31" s="617"/>
      <c r="DV31" s="617"/>
      <c r="DW31" s="617"/>
      <c r="DX31" s="617"/>
      <c r="DY31" s="617"/>
      <c r="DZ31" s="617"/>
      <c r="EA31" s="617"/>
      <c r="EB31" s="617"/>
      <c r="EC31" s="617"/>
      <c r="ED31" s="617"/>
      <c r="EE31" s="617"/>
      <c r="EF31" s="617"/>
      <c r="EG31" s="617"/>
      <c r="EH31" s="617"/>
      <c r="EI31" s="617"/>
      <c r="EJ31" s="617"/>
      <c r="EK31" s="617"/>
      <c r="EL31" s="617"/>
      <c r="EM31" s="617"/>
      <c r="EN31" s="617"/>
      <c r="EO31" s="617"/>
      <c r="EP31" s="617"/>
      <c r="EQ31" s="617"/>
      <c r="ER31" s="617"/>
      <c r="ES31" s="617"/>
      <c r="ET31" s="617"/>
      <c r="EU31" s="617"/>
      <c r="EV31" s="617"/>
      <c r="EW31" s="617"/>
      <c r="EX31" s="617"/>
      <c r="EY31" s="617"/>
      <c r="EZ31" s="617"/>
      <c r="FA31" s="617"/>
      <c r="FB31" s="617"/>
      <c r="FC31" s="617"/>
      <c r="FD31" s="617"/>
      <c r="FE31" s="617"/>
      <c r="FF31" s="617"/>
      <c r="FG31" s="617"/>
      <c r="FH31" s="617"/>
    </row>
    <row r="32" spans="1:164">
      <c r="A32" s="617" t="s">
        <v>4144</v>
      </c>
      <c r="B32" s="617" t="s">
        <v>490</v>
      </c>
      <c r="C32" s="617" t="s">
        <v>491</v>
      </c>
      <c r="D32" s="617" t="s">
        <v>492</v>
      </c>
      <c r="E32" s="617" t="s">
        <v>493</v>
      </c>
      <c r="F32" s="617" t="s">
        <v>4145</v>
      </c>
      <c r="G32" s="617"/>
      <c r="H32" s="617"/>
      <c r="I32" s="617"/>
      <c r="J32" s="617"/>
      <c r="K32" s="617"/>
      <c r="L32" s="617"/>
      <c r="M32" s="617"/>
      <c r="N32" s="617"/>
      <c r="O32" s="617"/>
      <c r="P32" s="617"/>
      <c r="Q32" s="617"/>
      <c r="R32" s="617"/>
      <c r="S32" s="617"/>
      <c r="T32" s="617"/>
      <c r="U32" s="617"/>
      <c r="V32" s="617"/>
      <c r="W32" s="617"/>
      <c r="X32" s="617"/>
      <c r="Y32" s="617"/>
      <c r="Z32" s="617"/>
      <c r="AA32" s="617"/>
      <c r="AB32" s="617"/>
      <c r="AC32" s="617"/>
      <c r="AD32" s="617"/>
      <c r="AE32" s="617"/>
      <c r="AF32" s="617"/>
      <c r="AG32" s="617"/>
      <c r="AH32" s="617"/>
      <c r="AI32" s="617"/>
      <c r="AJ32" s="617"/>
      <c r="AK32" s="617"/>
      <c r="AL32" s="617"/>
      <c r="AM32" s="617"/>
      <c r="AN32" s="617"/>
      <c r="AO32" s="617"/>
      <c r="AP32" s="617"/>
      <c r="AQ32" s="617"/>
      <c r="AR32" s="617"/>
      <c r="AS32" s="617"/>
      <c r="AT32" s="617"/>
      <c r="AU32" s="617"/>
      <c r="AV32" s="617"/>
      <c r="AW32" s="617"/>
      <c r="AX32" s="617"/>
      <c r="AY32" s="617"/>
      <c r="AZ32" s="617"/>
      <c r="BA32" s="617"/>
      <c r="BB32" s="617"/>
      <c r="BC32" s="617"/>
      <c r="BD32" s="617"/>
      <c r="BE32" s="617"/>
      <c r="BF32" s="617"/>
      <c r="BG32" s="617"/>
      <c r="BH32" s="617"/>
      <c r="BI32" s="617"/>
      <c r="BJ32" s="617"/>
      <c r="BK32" s="617"/>
      <c r="BL32" s="617"/>
      <c r="BM32" s="617"/>
      <c r="BN32" s="617"/>
      <c r="BO32" s="617"/>
      <c r="BP32" s="617"/>
      <c r="BQ32" s="617"/>
      <c r="BR32" s="617"/>
      <c r="BS32" s="617"/>
      <c r="BT32" s="617"/>
      <c r="BU32" s="617"/>
      <c r="BV32" s="617"/>
      <c r="BW32" s="617"/>
      <c r="BX32" s="617"/>
      <c r="BY32" s="617"/>
      <c r="BZ32" s="617"/>
      <c r="CA32" s="617"/>
      <c r="CB32" s="617"/>
      <c r="CC32" s="617"/>
      <c r="CD32" s="617"/>
      <c r="CE32" s="617"/>
      <c r="CF32" s="617"/>
      <c r="CG32" s="617"/>
      <c r="CH32" s="617"/>
      <c r="CI32" s="617"/>
      <c r="CJ32" s="617"/>
      <c r="CK32" s="617"/>
      <c r="CL32" s="617"/>
      <c r="CM32" s="617"/>
      <c r="CN32" s="617"/>
      <c r="CO32" s="617"/>
      <c r="CP32" s="617"/>
      <c r="CQ32" s="617"/>
      <c r="CR32" s="617"/>
      <c r="CS32" s="617"/>
      <c r="CT32" s="617"/>
      <c r="CU32" s="617"/>
      <c r="CV32" s="617"/>
      <c r="CW32" s="617"/>
      <c r="CX32" s="617"/>
      <c r="CY32" s="617"/>
      <c r="CZ32" s="617"/>
      <c r="DA32" s="617"/>
      <c r="DB32" s="617"/>
      <c r="DC32" s="617"/>
      <c r="DD32" s="617"/>
      <c r="DE32" s="617"/>
      <c r="DF32" s="617"/>
      <c r="DG32" s="617"/>
      <c r="DH32" s="617"/>
      <c r="DI32" s="617"/>
      <c r="DJ32" s="617"/>
      <c r="DK32" s="617"/>
      <c r="DL32" s="617"/>
      <c r="DM32" s="617"/>
      <c r="DN32" s="617"/>
      <c r="DO32" s="617"/>
      <c r="DP32" s="617"/>
      <c r="DQ32" s="617"/>
      <c r="DR32" s="617"/>
      <c r="DS32" s="617"/>
      <c r="DT32" s="617"/>
      <c r="DU32" s="617"/>
      <c r="DV32" s="617"/>
      <c r="DW32" s="617"/>
      <c r="DX32" s="617"/>
      <c r="DY32" s="617"/>
      <c r="DZ32" s="617"/>
      <c r="EA32" s="617"/>
      <c r="EB32" s="617"/>
      <c r="EC32" s="617"/>
      <c r="ED32" s="617"/>
      <c r="EE32" s="617"/>
      <c r="EF32" s="617"/>
      <c r="EG32" s="617"/>
      <c r="EH32" s="617"/>
      <c r="EI32" s="617"/>
      <c r="EJ32" s="617"/>
      <c r="EK32" s="617"/>
      <c r="EL32" s="617"/>
      <c r="EM32" s="617"/>
      <c r="EN32" s="617"/>
      <c r="EO32" s="617"/>
      <c r="EP32" s="617"/>
      <c r="EQ32" s="617"/>
      <c r="ER32" s="617"/>
      <c r="ES32" s="617"/>
      <c r="ET32" s="617"/>
      <c r="EU32" s="617"/>
      <c r="EV32" s="617"/>
      <c r="EW32" s="617"/>
      <c r="EX32" s="617"/>
      <c r="EY32" s="617"/>
      <c r="EZ32" s="617"/>
      <c r="FA32" s="617"/>
      <c r="FB32" s="617"/>
      <c r="FC32" s="617"/>
      <c r="FD32" s="617"/>
      <c r="FE32" s="617"/>
      <c r="FF32" s="617"/>
      <c r="FG32" s="617"/>
      <c r="FH32" s="617"/>
    </row>
    <row r="33" spans="1:164">
      <c r="A33" s="617" t="s">
        <v>3602</v>
      </c>
      <c r="B33" s="617" t="s">
        <v>4146</v>
      </c>
      <c r="C33" s="617" t="s">
        <v>4147</v>
      </c>
      <c r="D33" s="617" t="s">
        <v>4148</v>
      </c>
      <c r="E33" s="617"/>
      <c r="F33" s="617"/>
      <c r="G33" s="617"/>
      <c r="H33" s="617"/>
      <c r="I33" s="617"/>
      <c r="J33" s="617"/>
      <c r="K33" s="617"/>
      <c r="L33" s="617"/>
      <c r="M33" s="617"/>
      <c r="N33" s="617"/>
      <c r="O33" s="617"/>
      <c r="P33" s="617"/>
      <c r="Q33" s="617"/>
      <c r="R33" s="617"/>
      <c r="S33" s="617"/>
      <c r="T33" s="617"/>
      <c r="U33" s="617"/>
      <c r="V33" s="617"/>
      <c r="W33" s="617"/>
      <c r="X33" s="617"/>
      <c r="Y33" s="617"/>
      <c r="Z33" s="617"/>
      <c r="AA33" s="617"/>
      <c r="AB33" s="617"/>
      <c r="AC33" s="617"/>
      <c r="AD33" s="617"/>
      <c r="AE33" s="617"/>
      <c r="AF33" s="617"/>
      <c r="AG33" s="617"/>
      <c r="AH33" s="617"/>
      <c r="AI33" s="617"/>
      <c r="AJ33" s="617"/>
      <c r="AK33" s="617"/>
      <c r="AL33" s="617"/>
      <c r="AM33" s="617"/>
      <c r="AN33" s="617"/>
      <c r="AO33" s="617"/>
      <c r="AP33" s="617"/>
      <c r="AQ33" s="617"/>
      <c r="AR33" s="617"/>
      <c r="AS33" s="617"/>
      <c r="AT33" s="617"/>
      <c r="AU33" s="617"/>
      <c r="AV33" s="617"/>
      <c r="AW33" s="617"/>
      <c r="AX33" s="617"/>
      <c r="AY33" s="617"/>
      <c r="AZ33" s="617"/>
      <c r="BA33" s="617"/>
      <c r="BB33" s="617"/>
      <c r="BC33" s="617"/>
      <c r="BD33" s="617"/>
      <c r="BE33" s="617"/>
      <c r="BF33" s="617"/>
      <c r="BG33" s="617"/>
      <c r="BH33" s="617"/>
      <c r="BI33" s="617"/>
      <c r="BJ33" s="617"/>
      <c r="BK33" s="617"/>
      <c r="BL33" s="617"/>
      <c r="BM33" s="617"/>
      <c r="BN33" s="617"/>
      <c r="BO33" s="617"/>
      <c r="BP33" s="617"/>
      <c r="BQ33" s="617"/>
      <c r="BR33" s="617"/>
      <c r="BS33" s="617"/>
      <c r="BT33" s="617"/>
      <c r="BU33" s="617"/>
      <c r="BV33" s="617"/>
      <c r="BW33" s="617"/>
      <c r="BX33" s="617"/>
      <c r="BY33" s="617"/>
      <c r="BZ33" s="617"/>
      <c r="CA33" s="617"/>
      <c r="CB33" s="617"/>
      <c r="CC33" s="617"/>
      <c r="CD33" s="617"/>
      <c r="CE33" s="617"/>
      <c r="CF33" s="617"/>
      <c r="CG33" s="617"/>
      <c r="CH33" s="617"/>
      <c r="CI33" s="617"/>
      <c r="CJ33" s="617"/>
      <c r="CK33" s="617"/>
      <c r="CL33" s="617"/>
      <c r="CM33" s="617"/>
      <c r="CN33" s="617"/>
      <c r="CO33" s="617"/>
      <c r="CP33" s="617"/>
      <c r="CQ33" s="617"/>
      <c r="CR33" s="617"/>
      <c r="CS33" s="617"/>
      <c r="CT33" s="617"/>
      <c r="CU33" s="617"/>
      <c r="CV33" s="617"/>
      <c r="CW33" s="617"/>
      <c r="CX33" s="617"/>
      <c r="CY33" s="617"/>
      <c r="CZ33" s="617"/>
      <c r="DA33" s="617"/>
      <c r="DB33" s="617"/>
      <c r="DC33" s="617"/>
      <c r="DD33" s="617"/>
      <c r="DE33" s="617"/>
      <c r="DF33" s="617"/>
      <c r="DG33" s="617"/>
      <c r="DH33" s="617"/>
      <c r="DI33" s="617"/>
      <c r="DJ33" s="617"/>
      <c r="DK33" s="617"/>
      <c r="DL33" s="617"/>
      <c r="DM33" s="617"/>
      <c r="DN33" s="617"/>
      <c r="DO33" s="617"/>
      <c r="DP33" s="617"/>
      <c r="DQ33" s="617"/>
      <c r="DR33" s="617"/>
      <c r="DS33" s="617"/>
      <c r="DT33" s="617"/>
      <c r="DU33" s="617"/>
      <c r="DV33" s="617"/>
      <c r="DW33" s="617"/>
      <c r="DX33" s="617"/>
      <c r="DY33" s="617"/>
      <c r="DZ33" s="617"/>
      <c r="EA33" s="617"/>
      <c r="EB33" s="617"/>
      <c r="EC33" s="617"/>
      <c r="ED33" s="617"/>
      <c r="EE33" s="617"/>
      <c r="EF33" s="617"/>
      <c r="EG33" s="617"/>
      <c r="EH33" s="617"/>
      <c r="EI33" s="617"/>
      <c r="EJ33" s="617"/>
      <c r="EK33" s="617"/>
      <c r="EL33" s="617"/>
      <c r="EM33" s="617"/>
      <c r="EN33" s="617"/>
      <c r="EO33" s="617"/>
      <c r="EP33" s="617"/>
      <c r="EQ33" s="617"/>
      <c r="ER33" s="617"/>
      <c r="ES33" s="617"/>
      <c r="ET33" s="617"/>
      <c r="EU33" s="617"/>
      <c r="EV33" s="617"/>
      <c r="EW33" s="617"/>
      <c r="EX33" s="617"/>
      <c r="EY33" s="617"/>
      <c r="EZ33" s="617"/>
      <c r="FA33" s="617"/>
      <c r="FB33" s="617"/>
      <c r="FC33" s="617"/>
      <c r="FD33" s="617"/>
      <c r="FE33" s="617"/>
      <c r="FF33" s="617"/>
      <c r="FG33" s="617"/>
      <c r="FH33" s="617"/>
    </row>
    <row r="34" spans="1:164">
      <c r="A34" s="617" t="s">
        <v>4149</v>
      </c>
      <c r="B34" s="617" t="s">
        <v>206</v>
      </c>
      <c r="C34" s="617" t="s">
        <v>207</v>
      </c>
      <c r="D34" s="617"/>
      <c r="E34" s="617"/>
      <c r="F34" s="617"/>
      <c r="G34" s="617"/>
      <c r="H34" s="617"/>
      <c r="I34" s="617"/>
      <c r="J34" s="617"/>
      <c r="K34" s="617"/>
      <c r="L34" s="617"/>
      <c r="M34" s="617"/>
      <c r="N34" s="617"/>
      <c r="O34" s="617"/>
      <c r="P34" s="617"/>
      <c r="Q34" s="617"/>
      <c r="R34" s="617"/>
      <c r="S34" s="617"/>
      <c r="T34" s="617"/>
      <c r="U34" s="617"/>
      <c r="V34" s="617"/>
      <c r="W34" s="617"/>
      <c r="X34" s="617"/>
      <c r="Y34" s="617"/>
      <c r="Z34" s="617"/>
      <c r="AA34" s="617"/>
      <c r="AB34" s="617"/>
      <c r="AC34" s="617"/>
      <c r="AD34" s="617"/>
      <c r="AE34" s="617"/>
      <c r="AF34" s="617"/>
      <c r="AG34" s="617"/>
      <c r="AH34" s="617"/>
      <c r="AI34" s="617"/>
      <c r="AJ34" s="617"/>
      <c r="AK34" s="617"/>
      <c r="AL34" s="617"/>
      <c r="AM34" s="617"/>
      <c r="AN34" s="617"/>
      <c r="AO34" s="617"/>
      <c r="AP34" s="617"/>
      <c r="AQ34" s="617"/>
      <c r="AR34" s="617"/>
      <c r="AS34" s="617"/>
      <c r="AT34" s="617"/>
      <c r="AU34" s="617"/>
      <c r="AV34" s="617"/>
      <c r="AW34" s="617"/>
      <c r="AX34" s="617"/>
      <c r="AY34" s="617"/>
      <c r="AZ34" s="617"/>
      <c r="BA34" s="617"/>
      <c r="BB34" s="617"/>
      <c r="BC34" s="617"/>
      <c r="BD34" s="617"/>
      <c r="BE34" s="617"/>
      <c r="BF34" s="617"/>
      <c r="BG34" s="617"/>
      <c r="BH34" s="617"/>
      <c r="BI34" s="617"/>
      <c r="BJ34" s="617"/>
      <c r="BK34" s="617"/>
      <c r="BL34" s="617"/>
      <c r="BM34" s="617"/>
      <c r="BN34" s="617"/>
      <c r="BO34" s="617"/>
      <c r="BP34" s="617"/>
      <c r="BQ34" s="617"/>
      <c r="BR34" s="617"/>
      <c r="BS34" s="617"/>
      <c r="BT34" s="617"/>
      <c r="BU34" s="617"/>
      <c r="BV34" s="617"/>
      <c r="BW34" s="617"/>
      <c r="BX34" s="617"/>
      <c r="BY34" s="617"/>
      <c r="BZ34" s="617"/>
      <c r="CA34" s="617"/>
      <c r="CB34" s="617"/>
      <c r="CC34" s="617"/>
      <c r="CD34" s="617"/>
      <c r="CE34" s="617"/>
      <c r="CF34" s="617"/>
      <c r="CG34" s="617"/>
      <c r="CH34" s="617"/>
      <c r="CI34" s="617"/>
      <c r="CJ34" s="617"/>
      <c r="CK34" s="617"/>
      <c r="CL34" s="617"/>
      <c r="CM34" s="617"/>
      <c r="CN34" s="617"/>
      <c r="CO34" s="617"/>
      <c r="CP34" s="617"/>
      <c r="CQ34" s="617"/>
      <c r="CR34" s="617"/>
      <c r="CS34" s="617"/>
      <c r="CT34" s="617"/>
      <c r="CU34" s="617"/>
      <c r="CV34" s="617"/>
      <c r="CW34" s="617"/>
      <c r="CX34" s="617"/>
      <c r="CY34" s="617"/>
      <c r="CZ34" s="617"/>
      <c r="DA34" s="617"/>
      <c r="DB34" s="617"/>
      <c r="DC34" s="617"/>
      <c r="DD34" s="617"/>
      <c r="DE34" s="617"/>
      <c r="DF34" s="617"/>
      <c r="DG34" s="617"/>
      <c r="DH34" s="617"/>
      <c r="DI34" s="617"/>
      <c r="DJ34" s="617"/>
      <c r="DK34" s="617"/>
      <c r="DL34" s="617"/>
      <c r="DM34" s="617"/>
      <c r="DN34" s="617"/>
      <c r="DO34" s="617"/>
      <c r="DP34" s="617"/>
      <c r="DQ34" s="617"/>
      <c r="DR34" s="617"/>
      <c r="DS34" s="617"/>
      <c r="DT34" s="617"/>
      <c r="DU34" s="617"/>
      <c r="DV34" s="617"/>
      <c r="DW34" s="617"/>
      <c r="DX34" s="617"/>
      <c r="DY34" s="617"/>
      <c r="DZ34" s="617"/>
      <c r="EA34" s="617"/>
      <c r="EB34" s="617"/>
      <c r="EC34" s="617"/>
      <c r="ED34" s="617"/>
      <c r="EE34" s="617"/>
      <c r="EF34" s="617"/>
      <c r="EG34" s="617"/>
      <c r="EH34" s="617"/>
      <c r="EI34" s="617"/>
      <c r="EJ34" s="617"/>
      <c r="EK34" s="617"/>
      <c r="EL34" s="617"/>
      <c r="EM34" s="617"/>
      <c r="EN34" s="617"/>
      <c r="EO34" s="617"/>
      <c r="EP34" s="617"/>
      <c r="EQ34" s="617"/>
      <c r="ER34" s="617"/>
      <c r="ES34" s="617"/>
      <c r="ET34" s="617"/>
      <c r="EU34" s="617"/>
      <c r="EV34" s="617"/>
      <c r="EW34" s="617"/>
      <c r="EX34" s="617"/>
      <c r="EY34" s="617"/>
      <c r="EZ34" s="617"/>
      <c r="FA34" s="617"/>
      <c r="FB34" s="617"/>
      <c r="FC34" s="617"/>
      <c r="FD34" s="617"/>
      <c r="FE34" s="617"/>
      <c r="FF34" s="617"/>
      <c r="FG34" s="617"/>
      <c r="FH34" s="617"/>
    </row>
    <row r="35" spans="1:164">
      <c r="A35" s="617" t="s">
        <v>4150</v>
      </c>
      <c r="B35" s="617" t="s">
        <v>2238</v>
      </c>
      <c r="C35" s="617" t="s">
        <v>2239</v>
      </c>
      <c r="D35" s="617" t="s">
        <v>2240</v>
      </c>
      <c r="E35" s="617" t="s">
        <v>2241</v>
      </c>
      <c r="F35" s="617" t="s">
        <v>2242</v>
      </c>
      <c r="G35" s="617" t="s">
        <v>2243</v>
      </c>
      <c r="H35" s="617" t="s">
        <v>2244</v>
      </c>
      <c r="I35" s="617" t="s">
        <v>2245</v>
      </c>
      <c r="J35" s="617" t="s">
        <v>2246</v>
      </c>
      <c r="K35" s="617" t="s">
        <v>2247</v>
      </c>
      <c r="L35" s="617" t="s">
        <v>2248</v>
      </c>
      <c r="M35" s="617" t="s">
        <v>2249</v>
      </c>
      <c r="N35" s="617" t="s">
        <v>4816</v>
      </c>
      <c r="O35" s="617" t="s">
        <v>2163</v>
      </c>
      <c r="P35" s="617" t="s">
        <v>4817</v>
      </c>
      <c r="Q35" s="617" t="s">
        <v>4818</v>
      </c>
      <c r="R35" s="617"/>
      <c r="S35" s="617"/>
      <c r="T35" s="617"/>
      <c r="U35" s="617"/>
      <c r="V35" s="617"/>
      <c r="W35" s="617"/>
      <c r="X35" s="617"/>
      <c r="Y35" s="617"/>
      <c r="Z35" s="617"/>
      <c r="AA35" s="617"/>
      <c r="AB35" s="617"/>
      <c r="AC35" s="617"/>
      <c r="AD35" s="617"/>
      <c r="AE35" s="617"/>
      <c r="AF35" s="617"/>
      <c r="AG35" s="617"/>
      <c r="AH35" s="617"/>
      <c r="AI35" s="617"/>
      <c r="AJ35" s="617"/>
      <c r="AK35" s="617"/>
      <c r="AL35" s="617"/>
      <c r="AM35" s="617"/>
      <c r="AN35" s="617"/>
      <c r="AO35" s="617"/>
      <c r="AP35" s="617"/>
      <c r="AQ35" s="617"/>
      <c r="AR35" s="617"/>
      <c r="AS35" s="617"/>
      <c r="AT35" s="617"/>
      <c r="AU35" s="617"/>
      <c r="AV35" s="617"/>
      <c r="AW35" s="617"/>
      <c r="AX35" s="617"/>
      <c r="AY35" s="617"/>
      <c r="AZ35" s="617"/>
      <c r="BA35" s="617"/>
      <c r="BB35" s="617"/>
      <c r="BC35" s="617"/>
      <c r="BD35" s="617"/>
      <c r="BE35" s="617"/>
      <c r="BF35" s="617"/>
      <c r="BG35" s="617"/>
      <c r="BH35" s="617"/>
      <c r="BI35" s="617"/>
      <c r="BJ35" s="617"/>
      <c r="BK35" s="617"/>
      <c r="BL35" s="617"/>
      <c r="BM35" s="617"/>
      <c r="BN35" s="617"/>
      <c r="BO35" s="617"/>
      <c r="BP35" s="617"/>
      <c r="BQ35" s="617"/>
      <c r="BR35" s="617"/>
      <c r="BS35" s="617"/>
      <c r="BT35" s="617"/>
      <c r="BU35" s="617"/>
      <c r="BV35" s="617"/>
      <c r="BW35" s="617"/>
      <c r="BX35" s="617"/>
      <c r="BY35" s="617"/>
      <c r="BZ35" s="617"/>
      <c r="CA35" s="617"/>
      <c r="CB35" s="617"/>
      <c r="CC35" s="617"/>
      <c r="CD35" s="617"/>
      <c r="CE35" s="617"/>
      <c r="CF35" s="617"/>
      <c r="CG35" s="617"/>
      <c r="CH35" s="617"/>
      <c r="CI35" s="617"/>
      <c r="CJ35" s="617"/>
      <c r="CK35" s="617"/>
      <c r="CL35" s="617"/>
      <c r="CM35" s="617"/>
      <c r="CN35" s="617"/>
      <c r="CO35" s="617"/>
      <c r="CP35" s="617"/>
      <c r="CQ35" s="617"/>
      <c r="CR35" s="617"/>
      <c r="CS35" s="617"/>
      <c r="CT35" s="617"/>
      <c r="CU35" s="617"/>
      <c r="CV35" s="617"/>
      <c r="CW35" s="617"/>
      <c r="CX35" s="617"/>
      <c r="CY35" s="617"/>
      <c r="CZ35" s="617"/>
      <c r="DA35" s="617"/>
      <c r="DB35" s="617"/>
      <c r="DC35" s="617"/>
      <c r="DD35" s="617"/>
      <c r="DE35" s="617"/>
      <c r="DF35" s="617"/>
      <c r="DG35" s="617"/>
      <c r="DH35" s="617"/>
      <c r="DI35" s="617"/>
      <c r="DJ35" s="617"/>
      <c r="DK35" s="617"/>
      <c r="DL35" s="617"/>
      <c r="DM35" s="617"/>
      <c r="DN35" s="617"/>
      <c r="DO35" s="617"/>
      <c r="DP35" s="617"/>
      <c r="DQ35" s="617"/>
      <c r="DR35" s="617"/>
      <c r="DS35" s="617"/>
      <c r="DT35" s="617"/>
      <c r="DU35" s="617"/>
      <c r="DV35" s="617"/>
      <c r="DW35" s="617"/>
      <c r="DX35" s="617"/>
      <c r="DY35" s="617"/>
      <c r="DZ35" s="617"/>
      <c r="EA35" s="617"/>
      <c r="EB35" s="617"/>
      <c r="EC35" s="617"/>
      <c r="ED35" s="617"/>
      <c r="EE35" s="617"/>
      <c r="EF35" s="617"/>
      <c r="EG35" s="617"/>
      <c r="EH35" s="617"/>
      <c r="EI35" s="617"/>
      <c r="EJ35" s="617"/>
      <c r="EK35" s="617"/>
      <c r="EL35" s="617"/>
      <c r="EM35" s="617"/>
      <c r="EN35" s="617"/>
      <c r="EO35" s="617"/>
      <c r="EP35" s="617"/>
      <c r="EQ35" s="617"/>
      <c r="ER35" s="617"/>
      <c r="ES35" s="617"/>
      <c r="ET35" s="617"/>
      <c r="EU35" s="617"/>
      <c r="EV35" s="617"/>
      <c r="EW35" s="617"/>
      <c r="EX35" s="617"/>
      <c r="EY35" s="617"/>
      <c r="EZ35" s="617"/>
      <c r="FA35" s="617"/>
      <c r="FB35" s="617"/>
      <c r="FC35" s="617"/>
      <c r="FD35" s="617"/>
      <c r="FE35" s="617"/>
      <c r="FF35" s="617"/>
      <c r="FG35" s="617"/>
      <c r="FH35" s="617"/>
    </row>
    <row r="36" spans="1:164">
      <c r="A36" s="617" t="s">
        <v>4151</v>
      </c>
      <c r="B36" s="617" t="s">
        <v>512</v>
      </c>
      <c r="C36" s="617" t="s">
        <v>513</v>
      </c>
      <c r="D36" s="617" t="s">
        <v>514</v>
      </c>
      <c r="E36" s="617" t="s">
        <v>516</v>
      </c>
      <c r="F36" s="617" t="s">
        <v>517</v>
      </c>
      <c r="G36" s="617" t="s">
        <v>518</v>
      </c>
      <c r="H36" s="617" t="s">
        <v>519</v>
      </c>
      <c r="I36" s="617" t="s">
        <v>520</v>
      </c>
      <c r="J36" s="617"/>
      <c r="K36" s="617"/>
      <c r="L36" s="617"/>
      <c r="M36" s="617"/>
      <c r="N36" s="617"/>
      <c r="O36" s="617"/>
      <c r="P36" s="617"/>
      <c r="Q36" s="617"/>
      <c r="R36" s="617"/>
      <c r="S36" s="617"/>
      <c r="T36" s="617"/>
      <c r="U36" s="617"/>
      <c r="V36" s="617"/>
      <c r="W36" s="617"/>
      <c r="X36" s="617"/>
      <c r="Y36" s="617"/>
      <c r="Z36" s="617"/>
      <c r="AA36" s="617"/>
      <c r="AB36" s="617"/>
      <c r="AC36" s="617"/>
      <c r="AD36" s="617"/>
      <c r="AE36" s="617"/>
      <c r="AF36" s="617"/>
      <c r="AG36" s="617"/>
      <c r="AH36" s="617"/>
      <c r="AI36" s="617"/>
      <c r="AJ36" s="617"/>
      <c r="AK36" s="617"/>
      <c r="AL36" s="617"/>
      <c r="AM36" s="617"/>
      <c r="AN36" s="617"/>
      <c r="AO36" s="617"/>
      <c r="AP36" s="617"/>
      <c r="AQ36" s="617"/>
      <c r="AR36" s="617"/>
      <c r="AS36" s="617"/>
      <c r="AT36" s="617"/>
      <c r="AU36" s="617"/>
      <c r="AV36" s="617"/>
      <c r="AW36" s="617"/>
      <c r="AX36" s="617"/>
      <c r="AY36" s="617"/>
      <c r="AZ36" s="617"/>
      <c r="BA36" s="617"/>
      <c r="BB36" s="617"/>
      <c r="BC36" s="617"/>
      <c r="BD36" s="617"/>
      <c r="BE36" s="617"/>
      <c r="BF36" s="617"/>
      <c r="BG36" s="617"/>
      <c r="BH36" s="617"/>
      <c r="BI36" s="617"/>
      <c r="BJ36" s="617"/>
      <c r="BK36" s="617"/>
      <c r="BL36" s="617"/>
      <c r="BM36" s="617"/>
      <c r="BN36" s="617"/>
      <c r="BO36" s="617"/>
      <c r="BP36" s="617"/>
      <c r="BQ36" s="617"/>
      <c r="BR36" s="617"/>
      <c r="BS36" s="617"/>
      <c r="BT36" s="617"/>
      <c r="BU36" s="617"/>
      <c r="BV36" s="617"/>
      <c r="BW36" s="617"/>
      <c r="BX36" s="617"/>
      <c r="BY36" s="617"/>
      <c r="BZ36" s="617"/>
      <c r="CA36" s="617"/>
      <c r="CB36" s="617"/>
      <c r="CC36" s="617"/>
      <c r="CD36" s="617"/>
      <c r="CE36" s="617"/>
      <c r="CF36" s="617"/>
      <c r="CG36" s="617"/>
      <c r="CH36" s="617"/>
      <c r="CI36" s="617"/>
      <c r="CJ36" s="617"/>
      <c r="CK36" s="617"/>
      <c r="CL36" s="617"/>
      <c r="CM36" s="617"/>
      <c r="CN36" s="617"/>
      <c r="CO36" s="617"/>
      <c r="CP36" s="617"/>
      <c r="CQ36" s="617"/>
      <c r="CR36" s="617"/>
      <c r="CS36" s="617"/>
      <c r="CT36" s="617"/>
      <c r="CU36" s="617"/>
      <c r="CV36" s="617"/>
      <c r="CW36" s="617"/>
      <c r="CX36" s="617"/>
      <c r="CY36" s="617"/>
      <c r="CZ36" s="617"/>
      <c r="DA36" s="617"/>
      <c r="DB36" s="617"/>
      <c r="DC36" s="617"/>
      <c r="DD36" s="617"/>
      <c r="DE36" s="617"/>
      <c r="DF36" s="617"/>
      <c r="DG36" s="617"/>
      <c r="DH36" s="617"/>
      <c r="DI36" s="617"/>
      <c r="DJ36" s="617"/>
      <c r="DK36" s="617"/>
      <c r="DL36" s="617"/>
      <c r="DM36" s="617"/>
      <c r="DN36" s="617"/>
      <c r="DO36" s="617"/>
      <c r="DP36" s="617"/>
      <c r="DQ36" s="617"/>
      <c r="DR36" s="617"/>
      <c r="DS36" s="617"/>
      <c r="DT36" s="617"/>
      <c r="DU36" s="617"/>
      <c r="DV36" s="617"/>
      <c r="DW36" s="617"/>
      <c r="DX36" s="617"/>
      <c r="DY36" s="617"/>
      <c r="DZ36" s="617"/>
      <c r="EA36" s="617"/>
      <c r="EB36" s="617"/>
      <c r="EC36" s="617"/>
      <c r="ED36" s="617"/>
      <c r="EE36" s="617"/>
      <c r="EF36" s="617"/>
      <c r="EG36" s="617"/>
      <c r="EH36" s="617"/>
      <c r="EI36" s="617"/>
      <c r="EJ36" s="617"/>
      <c r="EK36" s="617"/>
      <c r="EL36" s="617"/>
      <c r="EM36" s="617"/>
      <c r="EN36" s="617"/>
      <c r="EO36" s="617"/>
      <c r="EP36" s="617"/>
      <c r="EQ36" s="617"/>
      <c r="ER36" s="617"/>
      <c r="ES36" s="617"/>
      <c r="ET36" s="617"/>
      <c r="EU36" s="617"/>
      <c r="EV36" s="617"/>
      <c r="EW36" s="617"/>
      <c r="EX36" s="617"/>
      <c r="EY36" s="617"/>
      <c r="EZ36" s="617"/>
      <c r="FA36" s="617"/>
      <c r="FB36" s="617"/>
      <c r="FC36" s="617"/>
      <c r="FD36" s="617"/>
      <c r="FE36" s="617"/>
      <c r="FF36" s="617"/>
      <c r="FG36" s="617"/>
      <c r="FH36" s="617"/>
    </row>
    <row r="37" spans="1:164">
      <c r="A37" s="617" t="s">
        <v>4152</v>
      </c>
      <c r="B37" s="617" t="s">
        <v>2250</v>
      </c>
      <c r="C37" s="617" t="s">
        <v>2251</v>
      </c>
      <c r="D37" s="617" t="s">
        <v>2252</v>
      </c>
      <c r="E37" s="617" t="s">
        <v>2253</v>
      </c>
      <c r="F37" s="617" t="s">
        <v>2254</v>
      </c>
      <c r="G37" s="617" t="s">
        <v>2255</v>
      </c>
      <c r="H37" s="617" t="s">
        <v>202</v>
      </c>
      <c r="I37" s="617"/>
      <c r="J37" s="617"/>
      <c r="K37" s="617"/>
      <c r="L37" s="617"/>
      <c r="M37" s="617"/>
      <c r="N37" s="617"/>
      <c r="O37" s="617"/>
      <c r="P37" s="617"/>
      <c r="Q37" s="617"/>
      <c r="R37" s="617"/>
      <c r="S37" s="617"/>
      <c r="T37" s="617"/>
      <c r="U37" s="617"/>
      <c r="V37" s="617"/>
      <c r="W37" s="617"/>
      <c r="X37" s="617"/>
      <c r="Y37" s="617"/>
      <c r="Z37" s="617"/>
      <c r="AA37" s="617"/>
      <c r="AB37" s="617"/>
      <c r="AC37" s="617"/>
      <c r="AD37" s="617"/>
      <c r="AE37" s="617"/>
      <c r="AF37" s="617"/>
      <c r="AG37" s="617"/>
      <c r="AH37" s="617"/>
      <c r="AI37" s="617"/>
      <c r="AJ37" s="617"/>
      <c r="AK37" s="617"/>
      <c r="AL37" s="617"/>
      <c r="AM37" s="617"/>
      <c r="AN37" s="617"/>
      <c r="AO37" s="617"/>
      <c r="AP37" s="617"/>
      <c r="AQ37" s="617"/>
      <c r="AR37" s="617"/>
      <c r="AS37" s="617"/>
      <c r="AT37" s="617"/>
      <c r="AU37" s="617"/>
      <c r="AV37" s="617"/>
      <c r="AW37" s="617"/>
      <c r="AX37" s="617"/>
      <c r="AY37" s="617"/>
      <c r="AZ37" s="617"/>
      <c r="BA37" s="617"/>
      <c r="BB37" s="617"/>
      <c r="BC37" s="617"/>
      <c r="BD37" s="617"/>
      <c r="BE37" s="617"/>
      <c r="BF37" s="617"/>
      <c r="BG37" s="617"/>
      <c r="BH37" s="617"/>
      <c r="BI37" s="617"/>
      <c r="BJ37" s="617"/>
      <c r="BK37" s="617"/>
      <c r="BL37" s="617"/>
      <c r="BM37" s="617"/>
      <c r="BN37" s="617"/>
      <c r="BO37" s="617"/>
      <c r="BP37" s="617"/>
      <c r="BQ37" s="617"/>
      <c r="BR37" s="617"/>
      <c r="BS37" s="617"/>
      <c r="BT37" s="617"/>
      <c r="BU37" s="617"/>
      <c r="BV37" s="617"/>
      <c r="BW37" s="617"/>
      <c r="BX37" s="617"/>
      <c r="BY37" s="617"/>
      <c r="BZ37" s="617"/>
      <c r="CA37" s="617"/>
      <c r="CB37" s="617"/>
      <c r="CC37" s="617"/>
      <c r="CD37" s="617"/>
      <c r="CE37" s="617"/>
      <c r="CF37" s="617"/>
      <c r="CG37" s="617"/>
      <c r="CH37" s="617"/>
      <c r="CI37" s="617"/>
      <c r="CJ37" s="617"/>
      <c r="CK37" s="617"/>
      <c r="CL37" s="617"/>
      <c r="CM37" s="617"/>
      <c r="CN37" s="617"/>
      <c r="CO37" s="617"/>
      <c r="CP37" s="617"/>
      <c r="CQ37" s="617"/>
      <c r="CR37" s="617"/>
      <c r="CS37" s="617"/>
      <c r="CT37" s="617"/>
      <c r="CU37" s="617"/>
      <c r="CV37" s="617"/>
      <c r="CW37" s="617"/>
      <c r="CX37" s="617"/>
      <c r="CY37" s="617"/>
      <c r="CZ37" s="617"/>
      <c r="DA37" s="617"/>
      <c r="DB37" s="617"/>
      <c r="DC37" s="617"/>
      <c r="DD37" s="617"/>
      <c r="DE37" s="617"/>
      <c r="DF37" s="617"/>
      <c r="DG37" s="617"/>
      <c r="DH37" s="617"/>
      <c r="DI37" s="617"/>
      <c r="DJ37" s="617"/>
      <c r="DK37" s="617"/>
      <c r="DL37" s="617"/>
      <c r="DM37" s="617"/>
      <c r="DN37" s="617"/>
      <c r="DO37" s="617"/>
      <c r="DP37" s="617"/>
      <c r="DQ37" s="617"/>
      <c r="DR37" s="617"/>
      <c r="DS37" s="617"/>
      <c r="DT37" s="617"/>
      <c r="DU37" s="617"/>
      <c r="DV37" s="617"/>
      <c r="DW37" s="617"/>
      <c r="DX37" s="617"/>
      <c r="DY37" s="617"/>
      <c r="DZ37" s="617"/>
      <c r="EA37" s="617"/>
      <c r="EB37" s="617"/>
      <c r="EC37" s="617"/>
      <c r="ED37" s="617"/>
      <c r="EE37" s="617"/>
      <c r="EF37" s="617"/>
      <c r="EG37" s="617"/>
      <c r="EH37" s="617"/>
      <c r="EI37" s="617"/>
      <c r="EJ37" s="617"/>
      <c r="EK37" s="617"/>
      <c r="EL37" s="617"/>
      <c r="EM37" s="617"/>
      <c r="EN37" s="617"/>
      <c r="EO37" s="617"/>
      <c r="EP37" s="617"/>
      <c r="EQ37" s="617"/>
      <c r="ER37" s="617"/>
      <c r="ES37" s="617"/>
      <c r="ET37" s="617"/>
      <c r="EU37" s="617"/>
      <c r="EV37" s="617"/>
      <c r="EW37" s="617"/>
      <c r="EX37" s="617"/>
      <c r="EY37" s="617"/>
      <c r="EZ37" s="617"/>
      <c r="FA37" s="617"/>
      <c r="FB37" s="617"/>
      <c r="FC37" s="617"/>
      <c r="FD37" s="617"/>
      <c r="FE37" s="617"/>
      <c r="FF37" s="617"/>
      <c r="FG37" s="617"/>
      <c r="FH37" s="617"/>
    </row>
    <row r="38" spans="1:164">
      <c r="A38" s="617" t="s">
        <v>4153</v>
      </c>
      <c r="B38" s="617" t="s">
        <v>103</v>
      </c>
      <c r="C38" s="617" t="s">
        <v>106</v>
      </c>
      <c r="D38" s="617" t="s">
        <v>105</v>
      </c>
      <c r="E38" s="617" t="s">
        <v>521</v>
      </c>
      <c r="F38" s="617" t="s">
        <v>108</v>
      </c>
      <c r="G38" s="617" t="s">
        <v>522</v>
      </c>
      <c r="H38" s="617" t="s">
        <v>523</v>
      </c>
      <c r="I38" s="617" t="s">
        <v>647</v>
      </c>
      <c r="J38" s="617" t="s">
        <v>2256</v>
      </c>
      <c r="K38" s="617" t="s">
        <v>1890</v>
      </c>
      <c r="L38" s="617" t="s">
        <v>2257</v>
      </c>
      <c r="M38" s="617" t="s">
        <v>4154</v>
      </c>
      <c r="N38" s="617" t="s">
        <v>1891</v>
      </c>
      <c r="O38" s="617" t="s">
        <v>4155</v>
      </c>
      <c r="P38" s="617" t="s">
        <v>4156</v>
      </c>
      <c r="Q38" s="617" t="s">
        <v>4157</v>
      </c>
      <c r="R38" s="617" t="s">
        <v>2258</v>
      </c>
      <c r="S38" s="617" t="s">
        <v>4158</v>
      </c>
      <c r="T38" s="617" t="s">
        <v>4159</v>
      </c>
      <c r="U38" s="617" t="s">
        <v>1892</v>
      </c>
      <c r="V38" s="617" t="s">
        <v>4160</v>
      </c>
      <c r="W38" s="617" t="s">
        <v>1893</v>
      </c>
      <c r="X38" s="617" t="s">
        <v>4161</v>
      </c>
      <c r="Y38" s="617" t="s">
        <v>4162</v>
      </c>
      <c r="Z38" s="617" t="s">
        <v>4163</v>
      </c>
      <c r="AA38" s="617" t="s">
        <v>202</v>
      </c>
      <c r="AB38" s="617" t="s">
        <v>104</v>
      </c>
      <c r="AC38" s="617" t="s">
        <v>648</v>
      </c>
      <c r="AD38" s="617"/>
      <c r="AE38" s="617"/>
      <c r="AF38" s="617"/>
      <c r="AG38" s="617"/>
      <c r="AH38" s="617"/>
      <c r="AI38" s="617"/>
      <c r="AJ38" s="617"/>
      <c r="AK38" s="617"/>
      <c r="AL38" s="617"/>
      <c r="AM38" s="617"/>
      <c r="AN38" s="617"/>
      <c r="AO38" s="617"/>
      <c r="AP38" s="617"/>
      <c r="AQ38" s="617"/>
      <c r="AR38" s="617"/>
      <c r="AS38" s="617"/>
      <c r="AT38" s="617"/>
      <c r="AU38" s="617"/>
      <c r="AV38" s="617"/>
      <c r="AW38" s="617"/>
      <c r="AX38" s="617"/>
      <c r="AY38" s="617"/>
      <c r="AZ38" s="617"/>
      <c r="BA38" s="617"/>
      <c r="BB38" s="617"/>
      <c r="BC38" s="617"/>
      <c r="BD38" s="617"/>
      <c r="BE38" s="617"/>
      <c r="BF38" s="617"/>
      <c r="BG38" s="617"/>
      <c r="BH38" s="617"/>
      <c r="BI38" s="617"/>
      <c r="BJ38" s="617"/>
      <c r="BK38" s="617"/>
      <c r="BL38" s="617"/>
      <c r="BM38" s="617"/>
      <c r="BN38" s="617"/>
      <c r="BO38" s="617"/>
      <c r="BP38" s="617"/>
      <c r="BQ38" s="617"/>
      <c r="BR38" s="617"/>
      <c r="BS38" s="617"/>
      <c r="BT38" s="617"/>
      <c r="BU38" s="617"/>
      <c r="BV38" s="617"/>
      <c r="BW38" s="617"/>
      <c r="BX38" s="617"/>
      <c r="BY38" s="617"/>
      <c r="BZ38" s="617"/>
      <c r="CA38" s="617"/>
      <c r="CB38" s="617"/>
      <c r="CC38" s="617"/>
      <c r="CD38" s="617"/>
      <c r="CE38" s="617"/>
      <c r="CF38" s="617"/>
      <c r="CG38" s="617"/>
      <c r="CH38" s="617"/>
      <c r="CI38" s="617"/>
      <c r="CJ38" s="617"/>
      <c r="CK38" s="617"/>
      <c r="CL38" s="617"/>
      <c r="CM38" s="617"/>
      <c r="CN38" s="617"/>
      <c r="CO38" s="617"/>
      <c r="CP38" s="617"/>
      <c r="CQ38" s="617"/>
      <c r="CR38" s="617"/>
      <c r="CS38" s="617"/>
      <c r="CT38" s="617"/>
      <c r="CU38" s="617"/>
      <c r="CV38" s="617"/>
      <c r="CW38" s="617"/>
      <c r="CX38" s="617"/>
      <c r="CY38" s="617"/>
      <c r="CZ38" s="617"/>
      <c r="DA38" s="617"/>
      <c r="DB38" s="617"/>
      <c r="DC38" s="617"/>
      <c r="DD38" s="617"/>
      <c r="DE38" s="617"/>
      <c r="DF38" s="617"/>
      <c r="DG38" s="617"/>
      <c r="DH38" s="617"/>
      <c r="DI38" s="617"/>
      <c r="DJ38" s="617"/>
      <c r="DK38" s="617"/>
      <c r="DL38" s="617"/>
      <c r="DM38" s="617"/>
      <c r="DN38" s="617"/>
      <c r="DO38" s="617"/>
      <c r="DP38" s="617"/>
      <c r="DQ38" s="617"/>
      <c r="DR38" s="617"/>
      <c r="DS38" s="617"/>
      <c r="DT38" s="617"/>
      <c r="DU38" s="617"/>
      <c r="DV38" s="617"/>
      <c r="DW38" s="617"/>
      <c r="DX38" s="617"/>
      <c r="DY38" s="617"/>
      <c r="DZ38" s="617"/>
      <c r="EA38" s="617"/>
      <c r="EB38" s="617"/>
      <c r="EC38" s="617"/>
      <c r="ED38" s="617"/>
      <c r="EE38" s="617"/>
      <c r="EF38" s="617"/>
      <c r="EG38" s="617"/>
      <c r="EH38" s="617"/>
      <c r="EI38" s="617"/>
      <c r="EJ38" s="617"/>
      <c r="EK38" s="617"/>
      <c r="EL38" s="617"/>
      <c r="EM38" s="617"/>
      <c r="EN38" s="617"/>
      <c r="EO38" s="617"/>
      <c r="EP38" s="617"/>
      <c r="EQ38" s="617"/>
      <c r="ER38" s="617"/>
      <c r="ES38" s="617"/>
      <c r="ET38" s="617"/>
      <c r="EU38" s="617"/>
      <c r="EV38" s="617"/>
      <c r="EW38" s="617"/>
      <c r="EX38" s="617"/>
      <c r="EY38" s="617"/>
      <c r="EZ38" s="617"/>
      <c r="FA38" s="617"/>
      <c r="FB38" s="617"/>
      <c r="FC38" s="617"/>
      <c r="FD38" s="617"/>
      <c r="FE38" s="617"/>
      <c r="FF38" s="617"/>
      <c r="FG38" s="617"/>
      <c r="FH38" s="617"/>
    </row>
    <row r="39" spans="1:164">
      <c r="A39" s="617" t="s">
        <v>4164</v>
      </c>
      <c r="B39" s="617" t="s">
        <v>529</v>
      </c>
      <c r="C39" s="617" t="s">
        <v>2259</v>
      </c>
      <c r="D39" s="617" t="s">
        <v>530</v>
      </c>
      <c r="E39" s="617" t="s">
        <v>2260</v>
      </c>
      <c r="F39" s="617" t="s">
        <v>2261</v>
      </c>
      <c r="G39" s="617" t="s">
        <v>531</v>
      </c>
      <c r="H39" s="617" t="s">
        <v>2262</v>
      </c>
      <c r="I39" s="617" t="s">
        <v>2263</v>
      </c>
      <c r="J39" s="617" t="s">
        <v>2264</v>
      </c>
      <c r="K39" s="617" t="s">
        <v>202</v>
      </c>
      <c r="L39" s="617" t="s">
        <v>4165</v>
      </c>
      <c r="M39" s="617"/>
      <c r="N39" s="617"/>
      <c r="O39" s="617"/>
      <c r="P39" s="617"/>
      <c r="Q39" s="617"/>
      <c r="R39" s="617"/>
      <c r="S39" s="617"/>
      <c r="T39" s="617"/>
      <c r="U39" s="617"/>
      <c r="V39" s="617"/>
      <c r="W39" s="617"/>
      <c r="X39" s="617"/>
      <c r="Y39" s="617"/>
      <c r="Z39" s="617"/>
      <c r="AA39" s="617"/>
      <c r="AB39" s="617"/>
      <c r="AC39" s="617"/>
      <c r="AD39" s="617"/>
      <c r="AE39" s="617"/>
      <c r="AF39" s="617"/>
      <c r="AG39" s="617"/>
      <c r="AH39" s="617"/>
      <c r="AI39" s="617"/>
      <c r="AJ39" s="617"/>
      <c r="AK39" s="617"/>
      <c r="AL39" s="617"/>
      <c r="AM39" s="617"/>
      <c r="AN39" s="617"/>
      <c r="AO39" s="617"/>
      <c r="AP39" s="617"/>
      <c r="AQ39" s="617"/>
      <c r="AR39" s="617"/>
      <c r="AS39" s="617"/>
      <c r="AT39" s="617"/>
      <c r="AU39" s="617"/>
      <c r="AV39" s="617"/>
      <c r="AW39" s="617"/>
      <c r="AX39" s="617"/>
      <c r="AY39" s="617"/>
      <c r="AZ39" s="617"/>
      <c r="BA39" s="617"/>
      <c r="BB39" s="617"/>
      <c r="BC39" s="617"/>
      <c r="BD39" s="617"/>
      <c r="BE39" s="617"/>
      <c r="BF39" s="617"/>
      <c r="BG39" s="617"/>
      <c r="BH39" s="617"/>
      <c r="BI39" s="617"/>
      <c r="BJ39" s="617"/>
      <c r="BK39" s="617"/>
      <c r="BL39" s="617"/>
      <c r="BM39" s="617"/>
      <c r="BN39" s="617"/>
      <c r="BO39" s="617"/>
      <c r="BP39" s="617"/>
      <c r="BQ39" s="617"/>
      <c r="BR39" s="617"/>
      <c r="BS39" s="617"/>
      <c r="BT39" s="617"/>
      <c r="BU39" s="617"/>
      <c r="BV39" s="617"/>
      <c r="BW39" s="617"/>
      <c r="BX39" s="617"/>
      <c r="BY39" s="617"/>
      <c r="BZ39" s="617"/>
      <c r="CA39" s="617"/>
      <c r="CB39" s="617"/>
      <c r="CC39" s="617"/>
      <c r="CD39" s="617"/>
      <c r="CE39" s="617"/>
      <c r="CF39" s="617"/>
      <c r="CG39" s="617"/>
      <c r="CH39" s="617"/>
      <c r="CI39" s="617"/>
      <c r="CJ39" s="617"/>
      <c r="CK39" s="617"/>
      <c r="CL39" s="617"/>
      <c r="CM39" s="617"/>
      <c r="CN39" s="617"/>
      <c r="CO39" s="617"/>
      <c r="CP39" s="617"/>
      <c r="CQ39" s="617"/>
      <c r="CR39" s="617"/>
      <c r="CS39" s="617"/>
      <c r="CT39" s="617"/>
      <c r="CU39" s="617"/>
      <c r="CV39" s="617"/>
      <c r="CW39" s="617"/>
      <c r="CX39" s="617"/>
      <c r="CY39" s="617"/>
      <c r="CZ39" s="617"/>
      <c r="DA39" s="617"/>
      <c r="DB39" s="617"/>
      <c r="DC39" s="617"/>
      <c r="DD39" s="617"/>
      <c r="DE39" s="617"/>
      <c r="DF39" s="617"/>
      <c r="DG39" s="617"/>
      <c r="DH39" s="617"/>
      <c r="DI39" s="617"/>
      <c r="DJ39" s="617"/>
      <c r="DK39" s="617"/>
      <c r="DL39" s="617"/>
      <c r="DM39" s="617"/>
      <c r="DN39" s="617"/>
      <c r="DO39" s="617"/>
      <c r="DP39" s="617"/>
      <c r="DQ39" s="617"/>
      <c r="DR39" s="617"/>
      <c r="DS39" s="617"/>
      <c r="DT39" s="617"/>
      <c r="DU39" s="617"/>
      <c r="DV39" s="617"/>
      <c r="DW39" s="617"/>
      <c r="DX39" s="617"/>
      <c r="DY39" s="617"/>
      <c r="DZ39" s="617"/>
      <c r="EA39" s="617"/>
      <c r="EB39" s="617"/>
      <c r="EC39" s="617"/>
      <c r="ED39" s="617"/>
      <c r="EE39" s="617"/>
      <c r="EF39" s="617"/>
      <c r="EG39" s="617"/>
      <c r="EH39" s="617"/>
      <c r="EI39" s="617"/>
      <c r="EJ39" s="617"/>
      <c r="EK39" s="617"/>
      <c r="EL39" s="617"/>
      <c r="EM39" s="617"/>
      <c r="EN39" s="617"/>
      <c r="EO39" s="617"/>
      <c r="EP39" s="617"/>
      <c r="EQ39" s="617"/>
      <c r="ER39" s="617"/>
      <c r="ES39" s="617"/>
      <c r="ET39" s="617"/>
      <c r="EU39" s="617"/>
      <c r="EV39" s="617"/>
      <c r="EW39" s="617"/>
      <c r="EX39" s="617"/>
      <c r="EY39" s="617"/>
      <c r="EZ39" s="617"/>
      <c r="FA39" s="617"/>
      <c r="FB39" s="617"/>
      <c r="FC39" s="617"/>
      <c r="FD39" s="617"/>
      <c r="FE39" s="617"/>
      <c r="FF39" s="617"/>
      <c r="FG39" s="617"/>
      <c r="FH39" s="617"/>
    </row>
    <row r="40" spans="1:164">
      <c r="A40" s="617" t="s">
        <v>4166</v>
      </c>
      <c r="B40" s="617" t="s">
        <v>535</v>
      </c>
      <c r="C40" s="617" t="s">
        <v>536</v>
      </c>
      <c r="D40" s="617" t="s">
        <v>537</v>
      </c>
      <c r="E40" s="617" t="s">
        <v>2265</v>
      </c>
      <c r="F40" s="617" t="s">
        <v>2266</v>
      </c>
      <c r="G40" s="617" t="s">
        <v>202</v>
      </c>
      <c r="H40" s="617"/>
      <c r="I40" s="617"/>
      <c r="J40" s="617"/>
      <c r="K40" s="617"/>
      <c r="L40" s="617"/>
      <c r="M40" s="617"/>
      <c r="N40" s="617"/>
      <c r="O40" s="617"/>
      <c r="P40" s="617"/>
      <c r="Q40" s="617"/>
      <c r="R40" s="617"/>
      <c r="S40" s="617"/>
      <c r="T40" s="617"/>
      <c r="U40" s="617"/>
      <c r="V40" s="617"/>
      <c r="W40" s="617"/>
      <c r="X40" s="617"/>
      <c r="Y40" s="617"/>
      <c r="Z40" s="617"/>
      <c r="AA40" s="617"/>
      <c r="AB40" s="617"/>
      <c r="AC40" s="617"/>
      <c r="AD40" s="617"/>
      <c r="AE40" s="617"/>
      <c r="AF40" s="617"/>
      <c r="AG40" s="617"/>
      <c r="AH40" s="617"/>
      <c r="AI40" s="617"/>
      <c r="AJ40" s="617"/>
      <c r="AK40" s="617"/>
      <c r="AL40" s="617"/>
      <c r="AM40" s="617"/>
      <c r="AN40" s="617"/>
      <c r="AO40" s="617"/>
      <c r="AP40" s="617"/>
      <c r="AQ40" s="617"/>
      <c r="AR40" s="617"/>
      <c r="AS40" s="617"/>
      <c r="AT40" s="617"/>
      <c r="AU40" s="617"/>
      <c r="AV40" s="617"/>
      <c r="AW40" s="617"/>
      <c r="AX40" s="617"/>
      <c r="AY40" s="617"/>
      <c r="AZ40" s="617"/>
      <c r="BA40" s="617"/>
      <c r="BB40" s="617"/>
      <c r="BC40" s="617"/>
      <c r="BD40" s="617"/>
      <c r="BE40" s="617"/>
      <c r="BF40" s="617"/>
      <c r="BG40" s="617"/>
      <c r="BH40" s="617"/>
      <c r="BI40" s="617"/>
      <c r="BJ40" s="617"/>
      <c r="BK40" s="617"/>
      <c r="BL40" s="617"/>
      <c r="BM40" s="617"/>
      <c r="BN40" s="617"/>
      <c r="BO40" s="617"/>
      <c r="BP40" s="617"/>
      <c r="BQ40" s="617"/>
      <c r="BR40" s="617"/>
      <c r="BS40" s="617"/>
      <c r="BT40" s="617"/>
      <c r="BU40" s="617"/>
      <c r="BV40" s="617"/>
      <c r="BW40" s="617"/>
      <c r="BX40" s="617"/>
      <c r="BY40" s="617"/>
      <c r="BZ40" s="617"/>
      <c r="CA40" s="617"/>
      <c r="CB40" s="617"/>
      <c r="CC40" s="617"/>
      <c r="CD40" s="617"/>
      <c r="CE40" s="617"/>
      <c r="CF40" s="617"/>
      <c r="CG40" s="617"/>
      <c r="CH40" s="617"/>
      <c r="CI40" s="617"/>
      <c r="CJ40" s="617"/>
      <c r="CK40" s="617"/>
      <c r="CL40" s="617"/>
      <c r="CM40" s="617"/>
      <c r="CN40" s="617"/>
      <c r="CO40" s="617"/>
      <c r="CP40" s="617"/>
      <c r="CQ40" s="617"/>
      <c r="CR40" s="617"/>
      <c r="CS40" s="617"/>
      <c r="CT40" s="617"/>
      <c r="CU40" s="617"/>
      <c r="CV40" s="617"/>
      <c r="CW40" s="617"/>
      <c r="CX40" s="617"/>
      <c r="CY40" s="617"/>
      <c r="CZ40" s="617"/>
      <c r="DA40" s="617"/>
      <c r="DB40" s="617"/>
      <c r="DC40" s="617"/>
      <c r="DD40" s="617"/>
      <c r="DE40" s="617"/>
      <c r="DF40" s="617"/>
      <c r="DG40" s="617"/>
      <c r="DH40" s="617"/>
      <c r="DI40" s="617"/>
      <c r="DJ40" s="617"/>
      <c r="DK40" s="617"/>
      <c r="DL40" s="617"/>
      <c r="DM40" s="617"/>
      <c r="DN40" s="617"/>
      <c r="DO40" s="617"/>
      <c r="DP40" s="617"/>
      <c r="DQ40" s="617"/>
      <c r="DR40" s="617"/>
      <c r="DS40" s="617"/>
      <c r="DT40" s="617"/>
      <c r="DU40" s="617"/>
      <c r="DV40" s="617"/>
      <c r="DW40" s="617"/>
      <c r="DX40" s="617"/>
      <c r="DY40" s="617"/>
      <c r="DZ40" s="617"/>
      <c r="EA40" s="617"/>
      <c r="EB40" s="617"/>
      <c r="EC40" s="617"/>
      <c r="ED40" s="617"/>
      <c r="EE40" s="617"/>
      <c r="EF40" s="617"/>
      <c r="EG40" s="617"/>
      <c r="EH40" s="617"/>
      <c r="EI40" s="617"/>
      <c r="EJ40" s="617"/>
      <c r="EK40" s="617"/>
      <c r="EL40" s="617"/>
      <c r="EM40" s="617"/>
      <c r="EN40" s="617"/>
      <c r="EO40" s="617"/>
      <c r="EP40" s="617"/>
      <c r="EQ40" s="617"/>
      <c r="ER40" s="617"/>
      <c r="ES40" s="617"/>
      <c r="ET40" s="617"/>
      <c r="EU40" s="617"/>
      <c r="EV40" s="617"/>
      <c r="EW40" s="617"/>
      <c r="EX40" s="617"/>
      <c r="EY40" s="617"/>
      <c r="EZ40" s="617"/>
      <c r="FA40" s="617"/>
      <c r="FB40" s="617"/>
      <c r="FC40" s="617"/>
      <c r="FD40" s="617"/>
      <c r="FE40" s="617"/>
      <c r="FF40" s="617"/>
      <c r="FG40" s="617"/>
      <c r="FH40" s="617"/>
    </row>
    <row r="41" spans="1:164">
      <c r="A41" s="617" t="s">
        <v>4167</v>
      </c>
      <c r="B41" s="617" t="s">
        <v>2267</v>
      </c>
      <c r="C41" s="617" t="s">
        <v>2268</v>
      </c>
      <c r="D41" s="617" t="s">
        <v>2232</v>
      </c>
      <c r="E41" s="617" t="s">
        <v>2269</v>
      </c>
      <c r="F41" s="617" t="s">
        <v>2270</v>
      </c>
      <c r="G41" s="617" t="s">
        <v>2271</v>
      </c>
      <c r="H41" s="617" t="s">
        <v>2272</v>
      </c>
      <c r="I41" s="617" t="s">
        <v>2273</v>
      </c>
      <c r="J41" s="617" t="s">
        <v>1040</v>
      </c>
      <c r="K41" s="617" t="s">
        <v>2274</v>
      </c>
      <c r="L41" s="617" t="s">
        <v>2275</v>
      </c>
      <c r="M41" s="617" t="s">
        <v>2276</v>
      </c>
      <c r="N41" s="617" t="s">
        <v>2277</v>
      </c>
      <c r="O41" s="617" t="s">
        <v>2278</v>
      </c>
      <c r="P41" s="617" t="s">
        <v>2279</v>
      </c>
      <c r="Q41" s="617" t="s">
        <v>2280</v>
      </c>
      <c r="R41" s="617" t="s">
        <v>202</v>
      </c>
      <c r="S41" s="617"/>
      <c r="T41" s="617"/>
      <c r="U41" s="617"/>
      <c r="V41" s="617"/>
      <c r="W41" s="617"/>
      <c r="X41" s="617"/>
      <c r="Y41" s="617"/>
      <c r="Z41" s="617"/>
      <c r="AA41" s="617"/>
      <c r="AB41" s="617"/>
      <c r="AC41" s="617"/>
      <c r="AD41" s="617"/>
      <c r="AE41" s="617"/>
      <c r="AF41" s="617"/>
      <c r="AG41" s="617"/>
      <c r="AH41" s="617"/>
      <c r="AI41" s="617"/>
      <c r="AJ41" s="617"/>
      <c r="AK41" s="617"/>
      <c r="AL41" s="617"/>
      <c r="AM41" s="617"/>
      <c r="AN41" s="617"/>
      <c r="AO41" s="617"/>
      <c r="AP41" s="617"/>
      <c r="AQ41" s="617"/>
      <c r="AR41" s="617"/>
      <c r="AS41" s="617"/>
      <c r="AT41" s="617"/>
      <c r="AU41" s="617"/>
      <c r="AV41" s="617"/>
      <c r="AW41" s="617"/>
      <c r="AX41" s="617"/>
      <c r="AY41" s="617"/>
      <c r="AZ41" s="617"/>
      <c r="BA41" s="617"/>
      <c r="BB41" s="617"/>
      <c r="BC41" s="617"/>
      <c r="BD41" s="617"/>
      <c r="BE41" s="617"/>
      <c r="BF41" s="617"/>
      <c r="BG41" s="617"/>
      <c r="BH41" s="617"/>
      <c r="BI41" s="617"/>
      <c r="BJ41" s="617"/>
      <c r="BK41" s="617"/>
      <c r="BL41" s="617"/>
      <c r="BM41" s="617"/>
      <c r="BN41" s="617"/>
      <c r="BO41" s="617"/>
      <c r="BP41" s="617"/>
      <c r="BQ41" s="617"/>
      <c r="BR41" s="617"/>
      <c r="BS41" s="617"/>
      <c r="BT41" s="617"/>
      <c r="BU41" s="617"/>
      <c r="BV41" s="617"/>
      <c r="BW41" s="617"/>
      <c r="BX41" s="617"/>
      <c r="BY41" s="617"/>
      <c r="BZ41" s="617"/>
      <c r="CA41" s="617"/>
      <c r="CB41" s="617"/>
      <c r="CC41" s="617"/>
      <c r="CD41" s="617"/>
      <c r="CE41" s="617"/>
      <c r="CF41" s="617"/>
      <c r="CG41" s="617"/>
      <c r="CH41" s="617"/>
      <c r="CI41" s="617"/>
      <c r="CJ41" s="617"/>
      <c r="CK41" s="617"/>
      <c r="CL41" s="617"/>
      <c r="CM41" s="617"/>
      <c r="CN41" s="617"/>
      <c r="CO41" s="617"/>
      <c r="CP41" s="617"/>
      <c r="CQ41" s="617"/>
      <c r="CR41" s="617"/>
      <c r="CS41" s="617"/>
      <c r="CT41" s="617"/>
      <c r="CU41" s="617"/>
      <c r="CV41" s="617"/>
      <c r="CW41" s="617"/>
      <c r="CX41" s="617"/>
      <c r="CY41" s="617"/>
      <c r="CZ41" s="617"/>
      <c r="DA41" s="617"/>
      <c r="DB41" s="617"/>
      <c r="DC41" s="617"/>
      <c r="DD41" s="617"/>
      <c r="DE41" s="617"/>
      <c r="DF41" s="617"/>
      <c r="DG41" s="617"/>
      <c r="DH41" s="617"/>
      <c r="DI41" s="617"/>
      <c r="DJ41" s="617"/>
      <c r="DK41" s="617"/>
      <c r="DL41" s="617"/>
      <c r="DM41" s="617"/>
      <c r="DN41" s="617"/>
      <c r="DO41" s="617"/>
      <c r="DP41" s="617"/>
      <c r="DQ41" s="617"/>
      <c r="DR41" s="617"/>
      <c r="DS41" s="617"/>
      <c r="DT41" s="617"/>
      <c r="DU41" s="617"/>
      <c r="DV41" s="617"/>
      <c r="DW41" s="617"/>
      <c r="DX41" s="617"/>
      <c r="DY41" s="617"/>
      <c r="DZ41" s="617"/>
      <c r="EA41" s="617"/>
      <c r="EB41" s="617"/>
      <c r="EC41" s="617"/>
      <c r="ED41" s="617"/>
      <c r="EE41" s="617"/>
      <c r="EF41" s="617"/>
      <c r="EG41" s="617"/>
      <c r="EH41" s="617"/>
      <c r="EI41" s="617"/>
      <c r="EJ41" s="617"/>
      <c r="EK41" s="617"/>
      <c r="EL41" s="617"/>
      <c r="EM41" s="617"/>
      <c r="EN41" s="617"/>
      <c r="EO41" s="617"/>
      <c r="EP41" s="617"/>
      <c r="EQ41" s="617"/>
      <c r="ER41" s="617"/>
      <c r="ES41" s="617"/>
      <c r="ET41" s="617"/>
      <c r="EU41" s="617"/>
      <c r="EV41" s="617"/>
      <c r="EW41" s="617"/>
      <c r="EX41" s="617"/>
      <c r="EY41" s="617"/>
      <c r="EZ41" s="617"/>
      <c r="FA41" s="617"/>
      <c r="FB41" s="617"/>
      <c r="FC41" s="617"/>
      <c r="FD41" s="617"/>
      <c r="FE41" s="617"/>
      <c r="FF41" s="617"/>
      <c r="FG41" s="617"/>
      <c r="FH41" s="617"/>
    </row>
    <row r="42" spans="1:164">
      <c r="A42" s="617" t="s">
        <v>4168</v>
      </c>
      <c r="B42" s="617" t="s">
        <v>2281</v>
      </c>
      <c r="C42" s="617" t="s">
        <v>2282</v>
      </c>
      <c r="D42" s="617" t="s">
        <v>2283</v>
      </c>
      <c r="E42" s="617" t="s">
        <v>2284</v>
      </c>
      <c r="F42" s="617" t="s">
        <v>2285</v>
      </c>
      <c r="G42" s="617" t="s">
        <v>2286</v>
      </c>
      <c r="H42" s="617" t="s">
        <v>285</v>
      </c>
      <c r="I42" s="617" t="s">
        <v>2287</v>
      </c>
      <c r="J42" s="617" t="s">
        <v>2288</v>
      </c>
      <c r="K42" s="617" t="s">
        <v>2289</v>
      </c>
      <c r="L42" s="617" t="s">
        <v>202</v>
      </c>
      <c r="M42" s="617"/>
      <c r="N42" s="617"/>
      <c r="O42" s="617"/>
      <c r="P42" s="617"/>
      <c r="Q42" s="617"/>
      <c r="R42" s="617"/>
      <c r="S42" s="617"/>
      <c r="T42" s="617"/>
      <c r="U42" s="617"/>
      <c r="V42" s="617"/>
      <c r="W42" s="617"/>
      <c r="X42" s="617"/>
      <c r="Y42" s="617"/>
      <c r="Z42" s="617"/>
      <c r="AA42" s="617"/>
      <c r="AB42" s="617"/>
      <c r="AC42" s="617"/>
      <c r="AD42" s="617"/>
      <c r="AE42" s="617"/>
      <c r="AF42" s="617"/>
      <c r="AG42" s="617"/>
      <c r="AH42" s="617"/>
      <c r="AI42" s="617"/>
      <c r="AJ42" s="617"/>
      <c r="AK42" s="617"/>
      <c r="AL42" s="617"/>
      <c r="AM42" s="617"/>
      <c r="AN42" s="617"/>
      <c r="AO42" s="617"/>
      <c r="AP42" s="617"/>
      <c r="AQ42" s="617"/>
      <c r="AR42" s="617"/>
      <c r="AS42" s="617"/>
      <c r="AT42" s="617"/>
      <c r="AU42" s="617"/>
      <c r="AV42" s="617"/>
      <c r="AW42" s="617"/>
      <c r="AX42" s="617"/>
      <c r="AY42" s="617"/>
      <c r="AZ42" s="617"/>
      <c r="BA42" s="617"/>
      <c r="BB42" s="617"/>
      <c r="BC42" s="617"/>
      <c r="BD42" s="617"/>
      <c r="BE42" s="617"/>
      <c r="BF42" s="617"/>
      <c r="BG42" s="617"/>
      <c r="BH42" s="617"/>
      <c r="BI42" s="617"/>
      <c r="BJ42" s="617"/>
      <c r="BK42" s="617"/>
      <c r="BL42" s="617"/>
      <c r="BM42" s="617"/>
      <c r="BN42" s="617"/>
      <c r="BO42" s="617"/>
      <c r="BP42" s="617"/>
      <c r="BQ42" s="617"/>
      <c r="BR42" s="617"/>
      <c r="BS42" s="617"/>
      <c r="BT42" s="617"/>
      <c r="BU42" s="617"/>
      <c r="BV42" s="617"/>
      <c r="BW42" s="617"/>
      <c r="BX42" s="617"/>
      <c r="BY42" s="617"/>
      <c r="BZ42" s="617"/>
      <c r="CA42" s="617"/>
      <c r="CB42" s="617"/>
      <c r="CC42" s="617"/>
      <c r="CD42" s="617"/>
      <c r="CE42" s="617"/>
      <c r="CF42" s="617"/>
      <c r="CG42" s="617"/>
      <c r="CH42" s="617"/>
      <c r="CI42" s="617"/>
      <c r="CJ42" s="617"/>
      <c r="CK42" s="617"/>
      <c r="CL42" s="617"/>
      <c r="CM42" s="617"/>
      <c r="CN42" s="617"/>
      <c r="CO42" s="617"/>
      <c r="CP42" s="617"/>
      <c r="CQ42" s="617"/>
      <c r="CR42" s="617"/>
      <c r="CS42" s="617"/>
      <c r="CT42" s="617"/>
      <c r="CU42" s="617"/>
      <c r="CV42" s="617"/>
      <c r="CW42" s="617"/>
      <c r="CX42" s="617"/>
      <c r="CY42" s="617"/>
      <c r="CZ42" s="617"/>
      <c r="DA42" s="617"/>
      <c r="DB42" s="617"/>
      <c r="DC42" s="617"/>
      <c r="DD42" s="617"/>
      <c r="DE42" s="617"/>
      <c r="DF42" s="617"/>
      <c r="DG42" s="617"/>
      <c r="DH42" s="617"/>
      <c r="DI42" s="617"/>
      <c r="DJ42" s="617"/>
      <c r="DK42" s="617"/>
      <c r="DL42" s="617"/>
      <c r="DM42" s="617"/>
      <c r="DN42" s="617"/>
      <c r="DO42" s="617"/>
      <c r="DP42" s="617"/>
      <c r="DQ42" s="617"/>
      <c r="DR42" s="617"/>
      <c r="DS42" s="617"/>
      <c r="DT42" s="617"/>
      <c r="DU42" s="617"/>
      <c r="DV42" s="617"/>
      <c r="DW42" s="617"/>
      <c r="DX42" s="617"/>
      <c r="DY42" s="617"/>
      <c r="DZ42" s="617"/>
      <c r="EA42" s="617"/>
      <c r="EB42" s="617"/>
      <c r="EC42" s="617"/>
      <c r="ED42" s="617"/>
      <c r="EE42" s="617"/>
      <c r="EF42" s="617"/>
      <c r="EG42" s="617"/>
      <c r="EH42" s="617"/>
      <c r="EI42" s="617"/>
      <c r="EJ42" s="617"/>
      <c r="EK42" s="617"/>
      <c r="EL42" s="617"/>
      <c r="EM42" s="617"/>
      <c r="EN42" s="617"/>
      <c r="EO42" s="617"/>
      <c r="EP42" s="617"/>
      <c r="EQ42" s="617"/>
      <c r="ER42" s="617"/>
      <c r="ES42" s="617"/>
      <c r="ET42" s="617"/>
      <c r="EU42" s="617"/>
      <c r="EV42" s="617"/>
      <c r="EW42" s="617"/>
      <c r="EX42" s="617"/>
      <c r="EY42" s="617"/>
      <c r="EZ42" s="617"/>
      <c r="FA42" s="617"/>
      <c r="FB42" s="617"/>
      <c r="FC42" s="617"/>
      <c r="FD42" s="617"/>
      <c r="FE42" s="617"/>
      <c r="FF42" s="617"/>
      <c r="FG42" s="617"/>
      <c r="FH42" s="617"/>
    </row>
    <row r="43" spans="1:164">
      <c r="A43" s="617" t="s">
        <v>4169</v>
      </c>
      <c r="B43" s="617" t="s">
        <v>594</v>
      </c>
      <c r="C43" s="617" t="s">
        <v>2290</v>
      </c>
      <c r="D43" s="617" t="s">
        <v>202</v>
      </c>
      <c r="E43" s="617"/>
      <c r="F43" s="617"/>
      <c r="G43" s="617"/>
      <c r="H43" s="617"/>
      <c r="I43" s="617"/>
      <c r="J43" s="617"/>
      <c r="K43" s="617"/>
      <c r="L43" s="617"/>
      <c r="M43" s="617"/>
      <c r="N43" s="617"/>
      <c r="O43" s="617"/>
      <c r="P43" s="617"/>
      <c r="Q43" s="617"/>
      <c r="R43" s="617"/>
      <c r="S43" s="617"/>
      <c r="T43" s="617"/>
      <c r="U43" s="617"/>
      <c r="V43" s="617"/>
      <c r="W43" s="617"/>
      <c r="X43" s="617"/>
      <c r="Y43" s="617"/>
      <c r="Z43" s="617"/>
      <c r="AA43" s="617"/>
      <c r="AB43" s="617"/>
      <c r="AC43" s="617"/>
      <c r="AD43" s="617"/>
      <c r="AE43" s="617"/>
      <c r="AF43" s="617"/>
      <c r="AG43" s="617"/>
      <c r="AH43" s="617"/>
      <c r="AI43" s="617"/>
      <c r="AJ43" s="617"/>
      <c r="AK43" s="617"/>
      <c r="AL43" s="617"/>
      <c r="AM43" s="617"/>
      <c r="AN43" s="617"/>
      <c r="AO43" s="617"/>
      <c r="AP43" s="617"/>
      <c r="AQ43" s="617"/>
      <c r="AR43" s="617"/>
      <c r="AS43" s="617"/>
      <c r="AT43" s="617"/>
      <c r="AU43" s="617"/>
      <c r="AV43" s="617"/>
      <c r="AW43" s="617"/>
      <c r="AX43" s="617"/>
      <c r="AY43" s="617"/>
      <c r="AZ43" s="617"/>
      <c r="BA43" s="617"/>
      <c r="BB43" s="617"/>
      <c r="BC43" s="617"/>
      <c r="BD43" s="617"/>
      <c r="BE43" s="617"/>
      <c r="BF43" s="617"/>
      <c r="BG43" s="617"/>
      <c r="BH43" s="617"/>
      <c r="BI43" s="617"/>
      <c r="BJ43" s="617"/>
      <c r="BK43" s="617"/>
      <c r="BL43" s="617"/>
      <c r="BM43" s="617"/>
      <c r="BN43" s="617"/>
      <c r="BO43" s="617"/>
      <c r="BP43" s="617"/>
      <c r="BQ43" s="617"/>
      <c r="BR43" s="617"/>
      <c r="BS43" s="617"/>
      <c r="BT43" s="617"/>
      <c r="BU43" s="617"/>
      <c r="BV43" s="617"/>
      <c r="BW43" s="617"/>
      <c r="BX43" s="617"/>
      <c r="BY43" s="617"/>
      <c r="BZ43" s="617"/>
      <c r="CA43" s="617"/>
      <c r="CB43" s="617"/>
      <c r="CC43" s="617"/>
      <c r="CD43" s="617"/>
      <c r="CE43" s="617"/>
      <c r="CF43" s="617"/>
      <c r="CG43" s="617"/>
      <c r="CH43" s="617"/>
      <c r="CI43" s="617"/>
      <c r="CJ43" s="617"/>
      <c r="CK43" s="617"/>
      <c r="CL43" s="617"/>
      <c r="CM43" s="617"/>
      <c r="CN43" s="617"/>
      <c r="CO43" s="617"/>
      <c r="CP43" s="617"/>
      <c r="CQ43" s="617"/>
      <c r="CR43" s="617"/>
      <c r="CS43" s="617"/>
      <c r="CT43" s="617"/>
      <c r="CU43" s="617"/>
      <c r="CV43" s="617"/>
      <c r="CW43" s="617"/>
      <c r="CX43" s="617"/>
      <c r="CY43" s="617"/>
      <c r="CZ43" s="617"/>
      <c r="DA43" s="617"/>
      <c r="DB43" s="617"/>
      <c r="DC43" s="617"/>
      <c r="DD43" s="617"/>
      <c r="DE43" s="617"/>
      <c r="DF43" s="617"/>
      <c r="DG43" s="617"/>
      <c r="DH43" s="617"/>
      <c r="DI43" s="617"/>
      <c r="DJ43" s="617"/>
      <c r="DK43" s="617"/>
      <c r="DL43" s="617"/>
      <c r="DM43" s="617"/>
      <c r="DN43" s="617"/>
      <c r="DO43" s="617"/>
      <c r="DP43" s="617"/>
      <c r="DQ43" s="617"/>
      <c r="DR43" s="617"/>
      <c r="DS43" s="617"/>
      <c r="DT43" s="617"/>
      <c r="DU43" s="617"/>
      <c r="DV43" s="617"/>
      <c r="DW43" s="617"/>
      <c r="DX43" s="617"/>
      <c r="DY43" s="617"/>
      <c r="DZ43" s="617"/>
      <c r="EA43" s="617"/>
      <c r="EB43" s="617"/>
      <c r="EC43" s="617"/>
      <c r="ED43" s="617"/>
      <c r="EE43" s="617"/>
      <c r="EF43" s="617"/>
      <c r="EG43" s="617"/>
      <c r="EH43" s="617"/>
      <c r="EI43" s="617"/>
      <c r="EJ43" s="617"/>
      <c r="EK43" s="617"/>
      <c r="EL43" s="617"/>
      <c r="EM43" s="617"/>
      <c r="EN43" s="617"/>
      <c r="EO43" s="617"/>
      <c r="EP43" s="617"/>
      <c r="EQ43" s="617"/>
      <c r="ER43" s="617"/>
      <c r="ES43" s="617"/>
      <c r="ET43" s="617"/>
      <c r="EU43" s="617"/>
      <c r="EV43" s="617"/>
      <c r="EW43" s="617"/>
      <c r="EX43" s="617"/>
      <c r="EY43" s="617"/>
      <c r="EZ43" s="617"/>
      <c r="FA43" s="617"/>
      <c r="FB43" s="617"/>
      <c r="FC43" s="617"/>
      <c r="FD43" s="617"/>
      <c r="FE43" s="617"/>
      <c r="FF43" s="617"/>
      <c r="FG43" s="617"/>
      <c r="FH43" s="617"/>
    </row>
    <row r="44" spans="1:164">
      <c r="A44" s="617" t="s">
        <v>4170</v>
      </c>
      <c r="B44" s="617" t="s">
        <v>4171</v>
      </c>
      <c r="C44" s="617"/>
      <c r="D44" s="617"/>
      <c r="E44" s="617"/>
      <c r="F44" s="617"/>
      <c r="G44" s="617"/>
      <c r="H44" s="617"/>
      <c r="I44" s="617"/>
      <c r="J44" s="617"/>
      <c r="K44" s="617"/>
      <c r="L44" s="617"/>
      <c r="M44" s="617"/>
      <c r="N44" s="617"/>
      <c r="O44" s="617"/>
      <c r="P44" s="617"/>
      <c r="Q44" s="617"/>
      <c r="R44" s="617"/>
      <c r="S44" s="617"/>
      <c r="T44" s="617"/>
      <c r="U44" s="617"/>
      <c r="V44" s="617"/>
      <c r="W44" s="617"/>
      <c r="X44" s="617"/>
      <c r="Y44" s="617"/>
      <c r="Z44" s="617"/>
      <c r="AA44" s="617"/>
      <c r="AB44" s="617"/>
      <c r="AC44" s="617"/>
      <c r="AD44" s="617"/>
      <c r="AE44" s="617"/>
      <c r="AF44" s="617"/>
      <c r="AG44" s="617"/>
      <c r="AH44" s="617"/>
      <c r="AI44" s="617"/>
      <c r="AJ44" s="617"/>
      <c r="AK44" s="617"/>
      <c r="AL44" s="617"/>
      <c r="AM44" s="617"/>
      <c r="AN44" s="617"/>
      <c r="AO44" s="617"/>
      <c r="AP44" s="617"/>
      <c r="AQ44" s="617"/>
      <c r="AR44" s="617"/>
      <c r="AS44" s="617"/>
      <c r="AT44" s="617"/>
      <c r="AU44" s="617"/>
      <c r="AV44" s="617"/>
      <c r="AW44" s="617"/>
      <c r="AX44" s="617"/>
      <c r="AY44" s="617"/>
      <c r="AZ44" s="617"/>
      <c r="BA44" s="617"/>
      <c r="BB44" s="617"/>
      <c r="BC44" s="617"/>
      <c r="BD44" s="617"/>
      <c r="BE44" s="617"/>
      <c r="BF44" s="617"/>
      <c r="BG44" s="617"/>
      <c r="BH44" s="617"/>
      <c r="BI44" s="617"/>
      <c r="BJ44" s="617"/>
      <c r="BK44" s="617"/>
      <c r="BL44" s="617"/>
      <c r="BM44" s="617"/>
      <c r="BN44" s="617"/>
      <c r="BO44" s="617"/>
      <c r="BP44" s="617"/>
      <c r="BQ44" s="617"/>
      <c r="BR44" s="617"/>
      <c r="BS44" s="617"/>
      <c r="BT44" s="617"/>
      <c r="BU44" s="617"/>
      <c r="BV44" s="617"/>
      <c r="BW44" s="617"/>
      <c r="BX44" s="617"/>
      <c r="BY44" s="617"/>
      <c r="BZ44" s="617"/>
      <c r="CA44" s="617"/>
      <c r="CB44" s="617"/>
      <c r="CC44" s="617"/>
      <c r="CD44" s="617"/>
      <c r="CE44" s="617"/>
      <c r="CF44" s="617"/>
      <c r="CG44" s="617"/>
      <c r="CH44" s="617"/>
      <c r="CI44" s="617"/>
      <c r="CJ44" s="617"/>
      <c r="CK44" s="617"/>
      <c r="CL44" s="617"/>
      <c r="CM44" s="617"/>
      <c r="CN44" s="617"/>
      <c r="CO44" s="617"/>
      <c r="CP44" s="617"/>
      <c r="CQ44" s="617"/>
      <c r="CR44" s="617"/>
      <c r="CS44" s="617"/>
      <c r="CT44" s="617"/>
      <c r="CU44" s="617"/>
      <c r="CV44" s="617"/>
      <c r="CW44" s="617"/>
      <c r="CX44" s="617"/>
      <c r="CY44" s="617"/>
      <c r="CZ44" s="617"/>
      <c r="DA44" s="617"/>
      <c r="DB44" s="617"/>
      <c r="DC44" s="617"/>
      <c r="DD44" s="617"/>
      <c r="DE44" s="617"/>
      <c r="DF44" s="617"/>
      <c r="DG44" s="617"/>
      <c r="DH44" s="617"/>
      <c r="DI44" s="617"/>
      <c r="DJ44" s="617"/>
      <c r="DK44" s="617"/>
      <c r="DL44" s="617"/>
      <c r="DM44" s="617"/>
      <c r="DN44" s="617"/>
      <c r="DO44" s="617"/>
      <c r="DP44" s="617"/>
      <c r="DQ44" s="617"/>
      <c r="DR44" s="617"/>
      <c r="DS44" s="617"/>
      <c r="DT44" s="617"/>
      <c r="DU44" s="617"/>
      <c r="DV44" s="617"/>
      <c r="DW44" s="617"/>
      <c r="DX44" s="617"/>
      <c r="DY44" s="617"/>
      <c r="DZ44" s="617"/>
      <c r="EA44" s="617"/>
      <c r="EB44" s="617"/>
      <c r="EC44" s="617"/>
      <c r="ED44" s="617"/>
      <c r="EE44" s="617"/>
      <c r="EF44" s="617"/>
      <c r="EG44" s="617"/>
      <c r="EH44" s="617"/>
      <c r="EI44" s="617"/>
      <c r="EJ44" s="617"/>
      <c r="EK44" s="617"/>
      <c r="EL44" s="617"/>
      <c r="EM44" s="617"/>
      <c r="EN44" s="617"/>
      <c r="EO44" s="617"/>
      <c r="EP44" s="617"/>
      <c r="EQ44" s="617"/>
      <c r="ER44" s="617"/>
      <c r="ES44" s="617"/>
      <c r="ET44" s="617"/>
      <c r="EU44" s="617"/>
      <c r="EV44" s="617"/>
      <c r="EW44" s="617"/>
      <c r="EX44" s="617"/>
      <c r="EY44" s="617"/>
      <c r="EZ44" s="617"/>
      <c r="FA44" s="617"/>
      <c r="FB44" s="617"/>
      <c r="FC44" s="617"/>
      <c r="FD44" s="617"/>
      <c r="FE44" s="617"/>
      <c r="FF44" s="617"/>
      <c r="FG44" s="617"/>
      <c r="FH44" s="617"/>
    </row>
    <row r="45" spans="1:164">
      <c r="A45" s="617" t="s">
        <v>4172</v>
      </c>
      <c r="B45" s="617" t="s">
        <v>4173</v>
      </c>
      <c r="C45" s="617" t="s">
        <v>901</v>
      </c>
      <c r="D45" s="617" t="s">
        <v>4174</v>
      </c>
      <c r="E45" s="617" t="s">
        <v>4175</v>
      </c>
      <c r="F45" s="617" t="s">
        <v>4176</v>
      </c>
      <c r="G45" s="617" t="s">
        <v>2291</v>
      </c>
      <c r="H45" s="617" t="s">
        <v>2821</v>
      </c>
      <c r="I45" s="617" t="s">
        <v>4177</v>
      </c>
      <c r="J45" s="617" t="s">
        <v>4178</v>
      </c>
      <c r="K45" s="617" t="s">
        <v>2822</v>
      </c>
      <c r="L45" s="617" t="s">
        <v>4179</v>
      </c>
      <c r="M45" s="617" t="s">
        <v>2816</v>
      </c>
      <c r="N45" s="617" t="s">
        <v>2817</v>
      </c>
      <c r="O45" s="617" t="s">
        <v>2818</v>
      </c>
      <c r="P45" s="617" t="s">
        <v>2819</v>
      </c>
      <c r="Q45" s="617" t="s">
        <v>2820</v>
      </c>
      <c r="R45" s="617" t="s">
        <v>4819</v>
      </c>
      <c r="S45" s="617" t="s">
        <v>4820</v>
      </c>
      <c r="T45" s="617" t="s">
        <v>4821</v>
      </c>
      <c r="U45" s="617" t="s">
        <v>2248</v>
      </c>
      <c r="V45" s="617" t="s">
        <v>4822</v>
      </c>
      <c r="W45" s="617" t="s">
        <v>4823</v>
      </c>
      <c r="X45" s="617" t="s">
        <v>4824</v>
      </c>
      <c r="Y45" s="617" t="s">
        <v>4825</v>
      </c>
      <c r="Z45" s="617" t="s">
        <v>4847</v>
      </c>
      <c r="AA45" s="617" t="s">
        <v>4864</v>
      </c>
      <c r="AB45" s="617" t="s">
        <v>4865</v>
      </c>
      <c r="AC45" s="617" t="s">
        <v>4866</v>
      </c>
      <c r="AD45" s="617" t="s">
        <v>4867</v>
      </c>
      <c r="AE45" s="617" t="s">
        <v>4868</v>
      </c>
      <c r="AF45" s="617" t="s">
        <v>4869</v>
      </c>
      <c r="AG45" s="617" t="s">
        <v>4870</v>
      </c>
      <c r="AH45" s="617" t="s">
        <v>4871</v>
      </c>
      <c r="AI45" s="617" t="s">
        <v>4872</v>
      </c>
      <c r="AJ45" s="617" t="s">
        <v>4873</v>
      </c>
      <c r="AK45" s="617" t="s">
        <v>4874</v>
      </c>
      <c r="AL45" s="617" t="s">
        <v>4875</v>
      </c>
      <c r="AM45" s="617" t="s">
        <v>4876</v>
      </c>
      <c r="AN45" s="617" t="s">
        <v>4877</v>
      </c>
      <c r="AO45" s="617" t="s">
        <v>4878</v>
      </c>
      <c r="AP45" s="617" t="s">
        <v>4879</v>
      </c>
      <c r="AQ45" s="617" t="s">
        <v>4880</v>
      </c>
      <c r="AR45" s="617" t="s">
        <v>4881</v>
      </c>
      <c r="AS45" s="617" t="s">
        <v>4882</v>
      </c>
      <c r="AT45" s="617" t="s">
        <v>4883</v>
      </c>
      <c r="AU45" s="617" t="s">
        <v>4884</v>
      </c>
      <c r="AV45" s="617" t="s">
        <v>4885</v>
      </c>
      <c r="AW45" s="617" t="s">
        <v>4886</v>
      </c>
      <c r="AX45" s="617" t="s">
        <v>4887</v>
      </c>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row>
    <row r="46" spans="1:164">
      <c r="A46" s="617" t="s">
        <v>4180</v>
      </c>
      <c r="B46" s="617" t="s">
        <v>768</v>
      </c>
      <c r="C46" s="617" t="s">
        <v>773</v>
      </c>
      <c r="D46" s="617" t="s">
        <v>769</v>
      </c>
      <c r="E46" s="617" t="s">
        <v>774</v>
      </c>
      <c r="F46" s="617"/>
      <c r="G46" s="617"/>
      <c r="H46" s="617"/>
      <c r="I46" s="617"/>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row>
    <row r="47" spans="1:164">
      <c r="A47" s="617" t="s">
        <v>4181</v>
      </c>
      <c r="B47" s="617" t="s">
        <v>4182</v>
      </c>
      <c r="C47" s="617" t="s">
        <v>4183</v>
      </c>
      <c r="D47" s="617"/>
      <c r="E47" s="617"/>
      <c r="F47" s="617"/>
      <c r="G47" s="617"/>
      <c r="H47" s="617"/>
      <c r="I47" s="617"/>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row>
    <row r="48" spans="1:164">
      <c r="A48" s="617" t="s">
        <v>4184</v>
      </c>
      <c r="B48" s="617" t="s">
        <v>104</v>
      </c>
      <c r="C48" s="617" t="s">
        <v>2294</v>
      </c>
      <c r="D48" s="617" t="s">
        <v>105</v>
      </c>
      <c r="E48" s="617" t="s">
        <v>647</v>
      </c>
      <c r="F48" s="617" t="s">
        <v>107</v>
      </c>
      <c r="G48" s="617" t="s">
        <v>108</v>
      </c>
      <c r="H48" s="617" t="s">
        <v>521</v>
      </c>
      <c r="I48" s="617" t="s">
        <v>522</v>
      </c>
      <c r="J48" s="617" t="s">
        <v>1891</v>
      </c>
      <c r="K48" s="617" t="s">
        <v>648</v>
      </c>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row>
    <row r="49" spans="1:164">
      <c r="A49" s="617" t="s">
        <v>4185</v>
      </c>
      <c r="B49" s="617" t="s">
        <v>2295</v>
      </c>
      <c r="C49" s="617" t="s">
        <v>2168</v>
      </c>
      <c r="D49" s="617" t="s">
        <v>2296</v>
      </c>
      <c r="E49" s="617" t="s">
        <v>2297</v>
      </c>
      <c r="F49" s="617" t="s">
        <v>2298</v>
      </c>
      <c r="G49" s="617" t="s">
        <v>2299</v>
      </c>
      <c r="H49" s="617" t="s">
        <v>2300</v>
      </c>
      <c r="I49" s="617" t="s">
        <v>2301</v>
      </c>
      <c r="J49" s="617" t="s">
        <v>2302</v>
      </c>
      <c r="K49" s="617" t="s">
        <v>2303</v>
      </c>
      <c r="L49" s="617" t="s">
        <v>2304</v>
      </c>
      <c r="M49" s="617" t="s">
        <v>2316</v>
      </c>
      <c r="N49" s="617" t="s">
        <v>2305</v>
      </c>
      <c r="O49" s="617" t="s">
        <v>701</v>
      </c>
      <c r="P49" s="617" t="s">
        <v>2306</v>
      </c>
      <c r="Q49" s="617" t="s">
        <v>2307</v>
      </c>
      <c r="R49" s="617" t="s">
        <v>2308</v>
      </c>
      <c r="S49" s="617" t="s">
        <v>4826</v>
      </c>
      <c r="T49" s="617" t="s">
        <v>4827</v>
      </c>
      <c r="U49" s="617" t="s">
        <v>4414</v>
      </c>
      <c r="V49" s="617" t="s">
        <v>4828</v>
      </c>
      <c r="W49" s="617" t="s">
        <v>4829</v>
      </c>
      <c r="X49" s="617" t="s">
        <v>3925</v>
      </c>
      <c r="Y49" s="617" t="s">
        <v>4830</v>
      </c>
      <c r="Z49" s="617" t="s">
        <v>2248</v>
      </c>
      <c r="AA49" s="617" t="s">
        <v>4831</v>
      </c>
      <c r="AB49" s="617" t="s">
        <v>4832</v>
      </c>
      <c r="AC49" s="617" t="s">
        <v>4833</v>
      </c>
      <c r="AD49" s="617" t="s">
        <v>4834</v>
      </c>
      <c r="AE49" s="617"/>
      <c r="AF49" s="617"/>
      <c r="AG49" s="617"/>
      <c r="AH49" s="617"/>
      <c r="AI49" s="617"/>
      <c r="AJ49" s="617"/>
      <c r="AK49" s="617"/>
      <c r="AL49" s="617"/>
      <c r="AM49" s="617"/>
      <c r="AN49" s="617"/>
      <c r="AO49" s="617"/>
      <c r="AP49" s="617"/>
      <c r="AQ49" s="617"/>
      <c r="AR49" s="617"/>
      <c r="AS49" s="617"/>
      <c r="AT49" s="617"/>
      <c r="AU49" s="617"/>
      <c r="AV49" s="617"/>
      <c r="AW49" s="617"/>
      <c r="AX49" s="617"/>
      <c r="AY49" s="617"/>
      <c r="AZ49" s="617"/>
      <c r="BA49" s="617"/>
      <c r="BB49" s="617"/>
      <c r="BC49" s="617"/>
      <c r="BD49" s="617"/>
      <c r="BE49" s="617"/>
      <c r="BF49" s="617"/>
      <c r="BG49" s="617"/>
      <c r="BH49" s="617"/>
      <c r="BI49" s="617"/>
      <c r="BJ49" s="617"/>
      <c r="BK49" s="617"/>
      <c r="BL49" s="617"/>
      <c r="BM49" s="617"/>
      <c r="BN49" s="617"/>
      <c r="BO49" s="617"/>
      <c r="BP49" s="617"/>
      <c r="BQ49" s="617"/>
      <c r="BR49" s="617"/>
      <c r="BS49" s="617"/>
      <c r="BT49" s="617"/>
      <c r="BU49" s="617"/>
      <c r="BV49" s="617"/>
      <c r="BW49" s="617"/>
      <c r="BX49" s="617"/>
      <c r="BY49" s="617"/>
      <c r="BZ49" s="617"/>
      <c r="CA49" s="617"/>
      <c r="CB49" s="617"/>
      <c r="CC49" s="617"/>
      <c r="CD49" s="617"/>
      <c r="CE49" s="617"/>
      <c r="CF49" s="617"/>
      <c r="CG49" s="617"/>
      <c r="CH49" s="617"/>
      <c r="CI49" s="617"/>
      <c r="CJ49" s="617"/>
      <c r="CK49" s="617"/>
      <c r="CL49" s="617"/>
      <c r="CM49" s="617"/>
      <c r="CN49" s="617"/>
      <c r="CO49" s="617"/>
      <c r="CP49" s="617"/>
      <c r="CQ49" s="617"/>
      <c r="CR49" s="617"/>
      <c r="CS49" s="617"/>
      <c r="CT49" s="617"/>
      <c r="CU49" s="617"/>
      <c r="CV49" s="617"/>
      <c r="CW49" s="617"/>
      <c r="CX49" s="617"/>
      <c r="CY49" s="617"/>
      <c r="CZ49" s="617"/>
      <c r="DA49" s="617"/>
      <c r="DB49" s="617"/>
      <c r="DC49" s="617"/>
      <c r="DD49" s="617"/>
      <c r="DE49" s="617"/>
      <c r="DF49" s="617"/>
      <c r="DG49" s="617"/>
      <c r="DH49" s="617"/>
      <c r="DI49" s="617"/>
      <c r="DJ49" s="617"/>
      <c r="DK49" s="617"/>
      <c r="DL49" s="617"/>
      <c r="DM49" s="617"/>
      <c r="DN49" s="617"/>
      <c r="DO49" s="617"/>
      <c r="DP49" s="617"/>
      <c r="DQ49" s="617"/>
      <c r="DR49" s="617"/>
      <c r="DS49" s="617"/>
      <c r="DT49" s="617"/>
      <c r="DU49" s="617"/>
      <c r="DV49" s="617"/>
      <c r="DW49" s="617"/>
      <c r="DX49" s="617"/>
      <c r="DY49" s="617"/>
      <c r="DZ49" s="617"/>
      <c r="EA49" s="617"/>
      <c r="EB49" s="617"/>
      <c r="EC49" s="617"/>
      <c r="ED49" s="617"/>
      <c r="EE49" s="617"/>
      <c r="EF49" s="617"/>
      <c r="EG49" s="617"/>
      <c r="EH49" s="617"/>
      <c r="EI49" s="617"/>
      <c r="EJ49" s="617"/>
      <c r="EK49" s="617"/>
      <c r="EL49" s="617"/>
      <c r="EM49" s="617"/>
      <c r="EN49" s="617"/>
      <c r="EO49" s="617"/>
      <c r="EP49" s="617"/>
      <c r="EQ49" s="617"/>
      <c r="ER49" s="617"/>
      <c r="ES49" s="617"/>
      <c r="ET49" s="617"/>
      <c r="EU49" s="617"/>
      <c r="EV49" s="617"/>
      <c r="EW49" s="617"/>
      <c r="EX49" s="617"/>
      <c r="EY49" s="617"/>
      <c r="EZ49" s="617"/>
      <c r="FA49" s="617"/>
      <c r="FB49" s="617"/>
      <c r="FC49" s="617"/>
      <c r="FD49" s="617"/>
      <c r="FE49" s="617"/>
      <c r="FF49" s="617"/>
      <c r="FG49" s="617"/>
      <c r="FH49" s="617"/>
    </row>
    <row r="50" spans="1:164">
      <c r="A50" s="617" t="s">
        <v>4186</v>
      </c>
      <c r="B50" s="617" t="s">
        <v>629</v>
      </c>
      <c r="C50" s="617" t="s">
        <v>2295</v>
      </c>
      <c r="D50" s="617" t="s">
        <v>2168</v>
      </c>
      <c r="E50" s="617" t="s">
        <v>2296</v>
      </c>
      <c r="F50" s="617" t="s">
        <v>2309</v>
      </c>
      <c r="G50" s="617" t="s">
        <v>2310</v>
      </c>
      <c r="H50" s="617" t="s">
        <v>2298</v>
      </c>
      <c r="I50" s="617" t="s">
        <v>2299</v>
      </c>
      <c r="J50" s="617" t="s">
        <v>2311</v>
      </c>
      <c r="K50" s="617" t="s">
        <v>2312</v>
      </c>
      <c r="L50" s="617" t="s">
        <v>2313</v>
      </c>
      <c r="M50" s="617" t="s">
        <v>2314</v>
      </c>
      <c r="N50" s="617" t="s">
        <v>2301</v>
      </c>
      <c r="O50" s="617" t="s">
        <v>2315</v>
      </c>
      <c r="P50" s="617" t="s">
        <v>2302</v>
      </c>
      <c r="Q50" s="617" t="s">
        <v>700</v>
      </c>
      <c r="R50" s="617" t="s">
        <v>2303</v>
      </c>
      <c r="S50" s="617" t="s">
        <v>2304</v>
      </c>
      <c r="T50" s="617" t="s">
        <v>2316</v>
      </c>
      <c r="U50" s="617" t="s">
        <v>701</v>
      </c>
      <c r="V50" s="617" t="s">
        <v>2317</v>
      </c>
      <c r="W50" s="617" t="s">
        <v>2306</v>
      </c>
      <c r="X50" s="617" t="s">
        <v>2307</v>
      </c>
      <c r="Y50" s="617" t="s">
        <v>2308</v>
      </c>
      <c r="Z50" s="617" t="s">
        <v>4835</v>
      </c>
      <c r="AA50" s="617" t="s">
        <v>575</v>
      </c>
      <c r="AB50" s="617" t="s">
        <v>3925</v>
      </c>
      <c r="AC50" s="617" t="s">
        <v>2248</v>
      </c>
      <c r="AD50" s="617" t="s">
        <v>4836</v>
      </c>
      <c r="AE50" s="617" t="s">
        <v>4837</v>
      </c>
      <c r="AF50" s="617" t="s">
        <v>4838</v>
      </c>
      <c r="AG50" s="617" t="s">
        <v>4839</v>
      </c>
      <c r="AH50" s="617" t="s">
        <v>2247</v>
      </c>
      <c r="AI50" s="617" t="s">
        <v>2248</v>
      </c>
      <c r="AJ50" s="617" t="s">
        <v>4840</v>
      </c>
      <c r="AK50" s="617" t="s">
        <v>4841</v>
      </c>
      <c r="AL50" s="617" t="s">
        <v>4842</v>
      </c>
      <c r="AM50" s="617" t="s">
        <v>4831</v>
      </c>
      <c r="AN50" s="617" t="s">
        <v>4833</v>
      </c>
      <c r="AO50" s="617"/>
      <c r="AP50" s="617"/>
      <c r="AQ50" s="617"/>
      <c r="AR50" s="617"/>
      <c r="AS50" s="617"/>
      <c r="AT50" s="617"/>
      <c r="AU50" s="617"/>
      <c r="AV50" s="617"/>
      <c r="AW50" s="617"/>
      <c r="AX50" s="617"/>
      <c r="AY50" s="617"/>
      <c r="AZ50" s="617"/>
      <c r="BA50" s="617"/>
      <c r="BB50" s="617"/>
      <c r="BC50" s="617"/>
      <c r="BD50" s="617"/>
      <c r="BE50" s="617"/>
      <c r="BF50" s="617"/>
      <c r="BG50" s="617"/>
      <c r="BH50" s="617"/>
      <c r="BI50" s="617"/>
      <c r="BJ50" s="617"/>
      <c r="BK50" s="617"/>
      <c r="BL50" s="617"/>
      <c r="BM50" s="617"/>
      <c r="BN50" s="617"/>
      <c r="BO50" s="617"/>
      <c r="BP50" s="617"/>
      <c r="BQ50" s="617"/>
      <c r="BR50" s="617"/>
      <c r="BS50" s="617"/>
      <c r="BT50" s="617"/>
      <c r="BU50" s="617"/>
      <c r="BV50" s="617"/>
      <c r="BW50" s="617"/>
      <c r="BX50" s="617"/>
      <c r="BY50" s="617"/>
      <c r="BZ50" s="617"/>
      <c r="CA50" s="617"/>
      <c r="CB50" s="617"/>
      <c r="CC50" s="617"/>
      <c r="CD50" s="617"/>
      <c r="CE50" s="617"/>
      <c r="CF50" s="617"/>
      <c r="CG50" s="617"/>
      <c r="CH50" s="617"/>
      <c r="CI50" s="617"/>
      <c r="CJ50" s="617"/>
      <c r="CK50" s="617"/>
      <c r="CL50" s="617"/>
      <c r="CM50" s="617"/>
      <c r="CN50" s="617"/>
      <c r="CO50" s="617"/>
      <c r="CP50" s="617"/>
      <c r="CQ50" s="617"/>
      <c r="CR50" s="617"/>
      <c r="CS50" s="617"/>
      <c r="CT50" s="617"/>
      <c r="CU50" s="617"/>
      <c r="CV50" s="617"/>
      <c r="CW50" s="617"/>
      <c r="CX50" s="617"/>
      <c r="CY50" s="617"/>
      <c r="CZ50" s="617"/>
      <c r="DA50" s="617"/>
      <c r="DB50" s="617"/>
      <c r="DC50" s="617"/>
      <c r="DD50" s="617"/>
      <c r="DE50" s="617"/>
      <c r="DF50" s="617"/>
      <c r="DG50" s="617"/>
      <c r="DH50" s="617"/>
      <c r="DI50" s="617"/>
      <c r="DJ50" s="617"/>
      <c r="DK50" s="617"/>
      <c r="DL50" s="617"/>
      <c r="DM50" s="617"/>
      <c r="DN50" s="617"/>
      <c r="DO50" s="617"/>
      <c r="DP50" s="617"/>
      <c r="DQ50" s="617"/>
      <c r="DR50" s="617"/>
      <c r="DS50" s="617"/>
      <c r="DT50" s="617"/>
      <c r="DU50" s="617"/>
      <c r="DV50" s="617"/>
      <c r="DW50" s="617"/>
      <c r="DX50" s="617"/>
      <c r="DY50" s="617"/>
      <c r="DZ50" s="617"/>
      <c r="EA50" s="617"/>
      <c r="EB50" s="617"/>
      <c r="EC50" s="617"/>
      <c r="ED50" s="617"/>
      <c r="EE50" s="617"/>
      <c r="EF50" s="617"/>
      <c r="EG50" s="617"/>
      <c r="EH50" s="617"/>
      <c r="EI50" s="617"/>
      <c r="EJ50" s="617"/>
      <c r="EK50" s="617"/>
      <c r="EL50" s="617"/>
      <c r="EM50" s="617"/>
      <c r="EN50" s="617"/>
      <c r="EO50" s="617"/>
      <c r="EP50" s="617"/>
      <c r="EQ50" s="617"/>
      <c r="ER50" s="617"/>
      <c r="ES50" s="617"/>
      <c r="ET50" s="617"/>
      <c r="EU50" s="617"/>
      <c r="EV50" s="617"/>
      <c r="EW50" s="617"/>
      <c r="EX50" s="617"/>
      <c r="EY50" s="617"/>
      <c r="EZ50" s="617"/>
      <c r="FA50" s="617"/>
      <c r="FB50" s="617"/>
      <c r="FC50" s="617"/>
      <c r="FD50" s="617"/>
      <c r="FE50" s="617"/>
      <c r="FF50" s="617"/>
      <c r="FG50" s="617"/>
      <c r="FH50" s="617"/>
    </row>
    <row r="51" spans="1:164">
      <c r="A51" s="617" t="s">
        <v>4187</v>
      </c>
      <c r="B51" s="617" t="s">
        <v>2307</v>
      </c>
      <c r="C51" s="617" t="s">
        <v>2306</v>
      </c>
      <c r="D51" s="617" t="s">
        <v>2296</v>
      </c>
      <c r="E51" s="617" t="s">
        <v>2308</v>
      </c>
      <c r="F51" s="617" t="s">
        <v>3887</v>
      </c>
      <c r="G51" s="617" t="s">
        <v>2247</v>
      </c>
      <c r="H51" s="617" t="s">
        <v>2248</v>
      </c>
      <c r="I51" s="617" t="s">
        <v>3886</v>
      </c>
      <c r="J51" s="617" t="s">
        <v>4843</v>
      </c>
      <c r="K51" s="617"/>
      <c r="L51" s="617"/>
      <c r="M51" s="617"/>
      <c r="N51" s="617"/>
      <c r="O51" s="617"/>
      <c r="P51" s="617"/>
      <c r="Q51" s="617"/>
      <c r="R51" s="617"/>
      <c r="S51" s="617"/>
      <c r="T51" s="617"/>
      <c r="U51" s="617"/>
      <c r="V51" s="617"/>
      <c r="W51" s="617"/>
      <c r="X51" s="617"/>
      <c r="Y51" s="617"/>
      <c r="Z51" s="617"/>
      <c r="AA51" s="617"/>
      <c r="AB51" s="617"/>
      <c r="AC51" s="617"/>
      <c r="AD51" s="617"/>
      <c r="AE51" s="617"/>
      <c r="AF51" s="617"/>
      <c r="AG51" s="617"/>
      <c r="AH51" s="617"/>
      <c r="AI51" s="617"/>
      <c r="AJ51" s="617"/>
      <c r="AK51" s="617"/>
      <c r="AL51" s="617"/>
      <c r="AM51" s="617"/>
      <c r="AN51" s="617"/>
      <c r="AO51" s="617"/>
      <c r="AP51" s="617"/>
      <c r="AQ51" s="617"/>
      <c r="AR51" s="617"/>
      <c r="AS51" s="617"/>
      <c r="AT51" s="617"/>
      <c r="AU51" s="617"/>
      <c r="AV51" s="617"/>
      <c r="AW51" s="617"/>
      <c r="AX51" s="617"/>
      <c r="AY51" s="617"/>
      <c r="AZ51" s="617"/>
      <c r="BA51" s="617"/>
      <c r="BB51" s="617"/>
      <c r="BC51" s="617"/>
      <c r="BD51" s="617"/>
      <c r="BE51" s="617"/>
      <c r="BF51" s="617"/>
      <c r="BG51" s="617"/>
      <c r="BH51" s="617"/>
      <c r="BI51" s="617"/>
      <c r="BJ51" s="617"/>
      <c r="BK51" s="617"/>
      <c r="BL51" s="617"/>
      <c r="BM51" s="617"/>
      <c r="BN51" s="617"/>
      <c r="BO51" s="617"/>
      <c r="BP51" s="617"/>
      <c r="BQ51" s="617"/>
      <c r="BR51" s="617"/>
      <c r="BS51" s="617"/>
      <c r="BT51" s="617"/>
      <c r="BU51" s="617"/>
      <c r="BV51" s="617"/>
      <c r="BW51" s="617"/>
      <c r="BX51" s="617"/>
      <c r="BY51" s="617"/>
      <c r="BZ51" s="617"/>
      <c r="CA51" s="617"/>
      <c r="CB51" s="617"/>
      <c r="CC51" s="617"/>
      <c r="CD51" s="617"/>
      <c r="CE51" s="617"/>
      <c r="CF51" s="617"/>
      <c r="CG51" s="617"/>
      <c r="CH51" s="617"/>
      <c r="CI51" s="617"/>
      <c r="CJ51" s="617"/>
      <c r="CK51" s="617"/>
      <c r="CL51" s="617"/>
      <c r="CM51" s="617"/>
      <c r="CN51" s="617"/>
      <c r="CO51" s="617"/>
      <c r="CP51" s="617"/>
      <c r="CQ51" s="617"/>
      <c r="CR51" s="617"/>
      <c r="CS51" s="617"/>
      <c r="CT51" s="617"/>
      <c r="CU51" s="617"/>
      <c r="CV51" s="617"/>
      <c r="CW51" s="617"/>
      <c r="CX51" s="617"/>
      <c r="CY51" s="617"/>
      <c r="CZ51" s="617"/>
      <c r="DA51" s="617"/>
      <c r="DB51" s="617"/>
      <c r="DC51" s="617"/>
      <c r="DD51" s="617"/>
      <c r="DE51" s="617"/>
      <c r="DF51" s="617"/>
      <c r="DG51" s="617"/>
      <c r="DH51" s="617"/>
      <c r="DI51" s="617"/>
      <c r="DJ51" s="617"/>
      <c r="DK51" s="617"/>
      <c r="DL51" s="617"/>
      <c r="DM51" s="617"/>
      <c r="DN51" s="617"/>
      <c r="DO51" s="617"/>
      <c r="DP51" s="617"/>
      <c r="DQ51" s="617"/>
      <c r="DR51" s="617"/>
      <c r="DS51" s="617"/>
      <c r="DT51" s="617"/>
      <c r="DU51" s="617"/>
      <c r="DV51" s="617"/>
      <c r="DW51" s="617"/>
      <c r="DX51" s="617"/>
      <c r="DY51" s="617"/>
      <c r="DZ51" s="617"/>
      <c r="EA51" s="617"/>
      <c r="EB51" s="617"/>
      <c r="EC51" s="617"/>
      <c r="ED51" s="617"/>
      <c r="EE51" s="617"/>
      <c r="EF51" s="617"/>
      <c r="EG51" s="617"/>
      <c r="EH51" s="617"/>
      <c r="EI51" s="617"/>
      <c r="EJ51" s="617"/>
      <c r="EK51" s="617"/>
      <c r="EL51" s="617"/>
      <c r="EM51" s="617"/>
      <c r="EN51" s="617"/>
      <c r="EO51" s="617"/>
      <c r="EP51" s="617"/>
      <c r="EQ51" s="617"/>
      <c r="ER51" s="617"/>
      <c r="ES51" s="617"/>
      <c r="ET51" s="617"/>
      <c r="EU51" s="617"/>
      <c r="EV51" s="617"/>
      <c r="EW51" s="617"/>
      <c r="EX51" s="617"/>
      <c r="EY51" s="617"/>
      <c r="EZ51" s="617"/>
      <c r="FA51" s="617"/>
      <c r="FB51" s="617"/>
      <c r="FC51" s="617"/>
      <c r="FD51" s="617"/>
      <c r="FE51" s="617"/>
      <c r="FF51" s="617"/>
      <c r="FG51" s="617"/>
      <c r="FH51" s="617"/>
    </row>
    <row r="52" spans="1:164">
      <c r="A52" s="617" t="s">
        <v>4188</v>
      </c>
      <c r="B52" s="617" t="s">
        <v>2836</v>
      </c>
      <c r="C52" s="617" t="s">
        <v>4189</v>
      </c>
      <c r="D52" s="617" t="s">
        <v>4190</v>
      </c>
      <c r="E52" s="617" t="s">
        <v>202</v>
      </c>
      <c r="F52" s="617"/>
      <c r="G52" s="617"/>
      <c r="H52" s="617"/>
      <c r="I52" s="617"/>
      <c r="J52" s="617"/>
      <c r="K52" s="617"/>
      <c r="L52" s="617"/>
      <c r="M52" s="617"/>
      <c r="N52" s="617"/>
      <c r="O52" s="617"/>
      <c r="P52" s="617"/>
      <c r="Q52" s="617"/>
      <c r="R52" s="617"/>
      <c r="S52" s="617"/>
      <c r="T52" s="617"/>
      <c r="U52" s="617"/>
      <c r="V52" s="617"/>
      <c r="W52" s="617"/>
      <c r="X52" s="617"/>
      <c r="Y52" s="617"/>
      <c r="Z52" s="617"/>
      <c r="AA52" s="617"/>
      <c r="AB52" s="617"/>
      <c r="AC52" s="617"/>
      <c r="AD52" s="617"/>
      <c r="AE52" s="617"/>
      <c r="AF52" s="617"/>
      <c r="AG52" s="617"/>
      <c r="AH52" s="617"/>
      <c r="AI52" s="617"/>
      <c r="AJ52" s="617"/>
      <c r="AK52" s="617"/>
      <c r="AL52" s="617"/>
      <c r="AM52" s="617"/>
      <c r="AN52" s="617"/>
      <c r="AO52" s="617"/>
      <c r="AP52" s="617"/>
      <c r="AQ52" s="617"/>
      <c r="AR52" s="617"/>
      <c r="AS52" s="617"/>
      <c r="AT52" s="617"/>
      <c r="AU52" s="617"/>
      <c r="AV52" s="617"/>
      <c r="AW52" s="617"/>
      <c r="AX52" s="617"/>
      <c r="AY52" s="617"/>
      <c r="AZ52" s="617"/>
      <c r="BA52" s="617"/>
      <c r="BB52" s="617"/>
      <c r="BC52" s="617"/>
      <c r="BD52" s="617"/>
      <c r="BE52" s="617"/>
      <c r="BF52" s="617"/>
      <c r="BG52" s="617"/>
      <c r="BH52" s="617"/>
      <c r="BI52" s="617"/>
      <c r="BJ52" s="617"/>
      <c r="BK52" s="617"/>
      <c r="BL52" s="617"/>
      <c r="BM52" s="617"/>
      <c r="BN52" s="617"/>
      <c r="BO52" s="617"/>
      <c r="BP52" s="617"/>
      <c r="BQ52" s="617"/>
      <c r="BR52" s="617"/>
      <c r="BS52" s="617"/>
      <c r="BT52" s="617"/>
      <c r="BU52" s="617"/>
      <c r="BV52" s="617"/>
      <c r="BW52" s="617"/>
      <c r="BX52" s="617"/>
      <c r="BY52" s="617"/>
      <c r="BZ52" s="617"/>
      <c r="CA52" s="617"/>
      <c r="CB52" s="617"/>
      <c r="CC52" s="617"/>
      <c r="CD52" s="617"/>
      <c r="CE52" s="617"/>
      <c r="CF52" s="617"/>
      <c r="CG52" s="617"/>
      <c r="CH52" s="617"/>
      <c r="CI52" s="617"/>
      <c r="CJ52" s="617"/>
      <c r="CK52" s="617"/>
      <c r="CL52" s="617"/>
      <c r="CM52" s="617"/>
      <c r="CN52" s="617"/>
      <c r="CO52" s="617"/>
      <c r="CP52" s="617"/>
      <c r="CQ52" s="617"/>
      <c r="CR52" s="617"/>
      <c r="CS52" s="617"/>
      <c r="CT52" s="617"/>
      <c r="CU52" s="617"/>
      <c r="CV52" s="617"/>
      <c r="CW52" s="617"/>
      <c r="CX52" s="617"/>
      <c r="CY52" s="617"/>
      <c r="CZ52" s="617"/>
      <c r="DA52" s="617"/>
      <c r="DB52" s="617"/>
      <c r="DC52" s="617"/>
      <c r="DD52" s="617"/>
      <c r="DE52" s="617"/>
      <c r="DF52" s="617"/>
      <c r="DG52" s="617"/>
      <c r="DH52" s="617"/>
      <c r="DI52" s="617"/>
      <c r="DJ52" s="617"/>
      <c r="DK52" s="617"/>
      <c r="DL52" s="617"/>
      <c r="DM52" s="617"/>
      <c r="DN52" s="617"/>
      <c r="DO52" s="617"/>
      <c r="DP52" s="617"/>
      <c r="DQ52" s="617"/>
      <c r="DR52" s="617"/>
      <c r="DS52" s="617"/>
      <c r="DT52" s="617"/>
      <c r="DU52" s="617"/>
      <c r="DV52" s="617"/>
      <c r="DW52" s="617"/>
      <c r="DX52" s="617"/>
      <c r="DY52" s="617"/>
      <c r="DZ52" s="617"/>
      <c r="EA52" s="617"/>
      <c r="EB52" s="617"/>
      <c r="EC52" s="617"/>
      <c r="ED52" s="617"/>
      <c r="EE52" s="617"/>
      <c r="EF52" s="617"/>
      <c r="EG52" s="617"/>
      <c r="EH52" s="617"/>
      <c r="EI52" s="617"/>
      <c r="EJ52" s="617"/>
      <c r="EK52" s="617"/>
      <c r="EL52" s="617"/>
      <c r="EM52" s="617"/>
      <c r="EN52" s="617"/>
      <c r="EO52" s="617"/>
      <c r="EP52" s="617"/>
      <c r="EQ52" s="617"/>
      <c r="ER52" s="617"/>
      <c r="ES52" s="617"/>
      <c r="ET52" s="617"/>
      <c r="EU52" s="617"/>
      <c r="EV52" s="617"/>
      <c r="EW52" s="617"/>
      <c r="EX52" s="617"/>
      <c r="EY52" s="617"/>
      <c r="EZ52" s="617"/>
      <c r="FA52" s="617"/>
      <c r="FB52" s="617"/>
      <c r="FC52" s="617"/>
      <c r="FD52" s="617"/>
      <c r="FE52" s="617"/>
      <c r="FF52" s="617"/>
      <c r="FG52" s="617"/>
      <c r="FH52" s="617"/>
    </row>
    <row r="53" spans="1:164">
      <c r="A53" s="617" t="s">
        <v>4191</v>
      </c>
      <c r="B53" s="617" t="s">
        <v>666</v>
      </c>
      <c r="C53" s="617" t="s">
        <v>669</v>
      </c>
      <c r="D53" s="617" t="s">
        <v>681</v>
      </c>
      <c r="E53" s="617" t="s">
        <v>670</v>
      </c>
      <c r="F53" s="617" t="s">
        <v>671</v>
      </c>
      <c r="G53" s="617" t="s">
        <v>672</v>
      </c>
      <c r="H53" s="617" t="s">
        <v>673</v>
      </c>
      <c r="I53" s="617" t="s">
        <v>674</v>
      </c>
      <c r="J53" s="617" t="s">
        <v>675</v>
      </c>
      <c r="K53" s="617" t="s">
        <v>676</v>
      </c>
      <c r="L53" s="617" t="s">
        <v>677</v>
      </c>
      <c r="M53" s="617" t="s">
        <v>678</v>
      </c>
      <c r="N53" s="617" t="s">
        <v>679</v>
      </c>
      <c r="O53" s="617" t="s">
        <v>680</v>
      </c>
      <c r="P53" s="617" t="s">
        <v>2318</v>
      </c>
      <c r="Q53" s="617"/>
      <c r="R53" s="617"/>
      <c r="S53" s="617"/>
      <c r="T53" s="617"/>
      <c r="U53" s="617"/>
      <c r="V53" s="617"/>
      <c r="W53" s="617"/>
      <c r="X53" s="617"/>
      <c r="Y53" s="617"/>
      <c r="Z53" s="617"/>
      <c r="AA53" s="617"/>
      <c r="AB53" s="617"/>
      <c r="AC53" s="617"/>
      <c r="AD53" s="617"/>
      <c r="AE53" s="617"/>
      <c r="AF53" s="617"/>
      <c r="AG53" s="617"/>
      <c r="AH53" s="617"/>
      <c r="AI53" s="617"/>
      <c r="AJ53" s="617"/>
      <c r="AK53" s="617"/>
      <c r="AL53" s="617"/>
      <c r="AM53" s="617"/>
      <c r="AN53" s="617"/>
      <c r="AO53" s="617"/>
      <c r="AP53" s="617"/>
      <c r="AQ53" s="617"/>
      <c r="AR53" s="617"/>
      <c r="AS53" s="617"/>
      <c r="AT53" s="617"/>
      <c r="AU53" s="617"/>
      <c r="AV53" s="617"/>
      <c r="AW53" s="617"/>
      <c r="AX53" s="617"/>
      <c r="AY53" s="617"/>
      <c r="AZ53" s="617"/>
      <c r="BA53" s="617"/>
      <c r="BB53" s="617"/>
      <c r="BC53" s="617"/>
      <c r="BD53" s="617"/>
      <c r="BE53" s="617"/>
      <c r="BF53" s="617"/>
      <c r="BG53" s="617"/>
      <c r="BH53" s="617"/>
      <c r="BI53" s="617"/>
      <c r="BJ53" s="617"/>
      <c r="BK53" s="617"/>
      <c r="BL53" s="617"/>
      <c r="BM53" s="617"/>
      <c r="BN53" s="617"/>
      <c r="BO53" s="617"/>
      <c r="BP53" s="617"/>
      <c r="BQ53" s="617"/>
      <c r="BR53" s="617"/>
      <c r="BS53" s="617"/>
      <c r="BT53" s="617"/>
      <c r="BU53" s="617"/>
      <c r="BV53" s="617"/>
      <c r="BW53" s="617"/>
      <c r="BX53" s="617"/>
      <c r="BY53" s="617"/>
      <c r="BZ53" s="617"/>
      <c r="CA53" s="617"/>
      <c r="CB53" s="617"/>
      <c r="CC53" s="617"/>
      <c r="CD53" s="617"/>
      <c r="CE53" s="617"/>
      <c r="CF53" s="617"/>
      <c r="CG53" s="617"/>
      <c r="CH53" s="617"/>
      <c r="CI53" s="617"/>
      <c r="CJ53" s="617"/>
      <c r="CK53" s="617"/>
      <c r="CL53" s="617"/>
      <c r="CM53" s="617"/>
      <c r="CN53" s="617"/>
      <c r="CO53" s="617"/>
      <c r="CP53" s="617"/>
      <c r="CQ53" s="617"/>
      <c r="CR53" s="617"/>
      <c r="CS53" s="617"/>
      <c r="CT53" s="617"/>
      <c r="CU53" s="617"/>
      <c r="CV53" s="617"/>
      <c r="CW53" s="617"/>
      <c r="CX53" s="617"/>
      <c r="CY53" s="617"/>
      <c r="CZ53" s="617"/>
      <c r="DA53" s="617"/>
      <c r="DB53" s="617"/>
      <c r="DC53" s="617"/>
      <c r="DD53" s="617"/>
      <c r="DE53" s="617"/>
      <c r="DF53" s="617"/>
      <c r="DG53" s="617"/>
      <c r="DH53" s="617"/>
      <c r="DI53" s="617"/>
      <c r="DJ53" s="617"/>
      <c r="DK53" s="617"/>
      <c r="DL53" s="617"/>
      <c r="DM53" s="617"/>
      <c r="DN53" s="617"/>
      <c r="DO53" s="617"/>
      <c r="DP53" s="617"/>
      <c r="DQ53" s="617"/>
      <c r="DR53" s="617"/>
      <c r="DS53" s="617"/>
      <c r="DT53" s="617"/>
      <c r="DU53" s="617"/>
      <c r="DV53" s="617"/>
      <c r="DW53" s="617"/>
      <c r="DX53" s="617"/>
      <c r="DY53" s="617"/>
      <c r="DZ53" s="617"/>
      <c r="EA53" s="617"/>
      <c r="EB53" s="617"/>
      <c r="EC53" s="617"/>
      <c r="ED53" s="617"/>
      <c r="EE53" s="617"/>
      <c r="EF53" s="617"/>
      <c r="EG53" s="617"/>
      <c r="EH53" s="617"/>
      <c r="EI53" s="617"/>
      <c r="EJ53" s="617"/>
      <c r="EK53" s="617"/>
      <c r="EL53" s="617"/>
      <c r="EM53" s="617"/>
      <c r="EN53" s="617"/>
      <c r="EO53" s="617"/>
      <c r="EP53" s="617"/>
      <c r="EQ53" s="617"/>
      <c r="ER53" s="617"/>
      <c r="ES53" s="617"/>
      <c r="ET53" s="617"/>
      <c r="EU53" s="617"/>
      <c r="EV53" s="617"/>
      <c r="EW53" s="617"/>
      <c r="EX53" s="617"/>
      <c r="EY53" s="617"/>
      <c r="EZ53" s="617"/>
      <c r="FA53" s="617"/>
      <c r="FB53" s="617"/>
      <c r="FC53" s="617"/>
      <c r="FD53" s="617"/>
      <c r="FE53" s="617"/>
      <c r="FF53" s="617"/>
      <c r="FG53" s="617"/>
      <c r="FH53" s="617"/>
    </row>
    <row r="54" spans="1:164">
      <c r="A54" s="617" t="s">
        <v>4192</v>
      </c>
      <c r="B54" s="617" t="s">
        <v>4193</v>
      </c>
      <c r="C54" s="617" t="s">
        <v>2319</v>
      </c>
      <c r="D54" s="617" t="s">
        <v>2320</v>
      </c>
      <c r="E54" s="617" t="s">
        <v>2321</v>
      </c>
      <c r="F54" s="617" t="s">
        <v>2322</v>
      </c>
      <c r="G54" s="617" t="s">
        <v>2323</v>
      </c>
      <c r="H54" s="617" t="s">
        <v>2324</v>
      </c>
      <c r="I54" s="617"/>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row>
    <row r="55" spans="1:164">
      <c r="A55" s="617" t="s">
        <v>2895</v>
      </c>
      <c r="B55" s="617" t="s">
        <v>650</v>
      </c>
      <c r="C55" s="617" t="s">
        <v>2325</v>
      </c>
      <c r="D55" s="617" t="s">
        <v>653</v>
      </c>
      <c r="E55" s="617" t="s">
        <v>2326</v>
      </c>
      <c r="F55" s="617" t="s">
        <v>2327</v>
      </c>
      <c r="G55" s="617" t="s">
        <v>651</v>
      </c>
      <c r="H55" s="617" t="s">
        <v>653</v>
      </c>
      <c r="I55" s="617" t="s">
        <v>654</v>
      </c>
      <c r="J55" s="617" t="s">
        <v>655</v>
      </c>
      <c r="K55" s="617" t="s">
        <v>2328</v>
      </c>
      <c r="L55" s="617" t="s">
        <v>656</v>
      </c>
      <c r="M55" s="617" t="s">
        <v>657</v>
      </c>
      <c r="N55" s="617" t="s">
        <v>652</v>
      </c>
      <c r="O55" s="617" t="s">
        <v>4194</v>
      </c>
      <c r="P55" s="617" t="s">
        <v>4195</v>
      </c>
      <c r="Q55" s="617" t="s">
        <v>4196</v>
      </c>
      <c r="R55" s="617" t="s">
        <v>4197</v>
      </c>
      <c r="S55" s="617" t="s">
        <v>4198</v>
      </c>
      <c r="T55" s="617" t="s">
        <v>2894</v>
      </c>
      <c r="U55" s="617" t="s">
        <v>4199</v>
      </c>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row>
    <row r="56" spans="1:164">
      <c r="A56" s="617" t="s">
        <v>4200</v>
      </c>
      <c r="B56" s="617" t="s">
        <v>89</v>
      </c>
      <c r="C56" s="617" t="s">
        <v>90</v>
      </c>
      <c r="D56" s="617" t="s">
        <v>423</v>
      </c>
      <c r="E56" s="617" t="s">
        <v>745</v>
      </c>
      <c r="F56" s="617" t="s">
        <v>80</v>
      </c>
      <c r="G56" s="617"/>
      <c r="H56" s="617"/>
      <c r="I56" s="617"/>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row>
    <row r="57" spans="1:164">
      <c r="A57" s="617" t="s">
        <v>4201</v>
      </c>
      <c r="B57" s="617" t="s">
        <v>2329</v>
      </c>
      <c r="C57" s="617" t="s">
        <v>2330</v>
      </c>
      <c r="D57" s="617" t="s">
        <v>2331</v>
      </c>
      <c r="E57" s="617" t="s">
        <v>2332</v>
      </c>
      <c r="F57" s="617" t="s">
        <v>2333</v>
      </c>
      <c r="G57" s="617" t="s">
        <v>202</v>
      </c>
      <c r="H57" s="617" t="s">
        <v>687</v>
      </c>
      <c r="I57" s="617" t="s">
        <v>688</v>
      </c>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row>
    <row r="58" spans="1:164">
      <c r="A58" s="617" t="s">
        <v>4202</v>
      </c>
      <c r="B58" s="617" t="s">
        <v>4203</v>
      </c>
      <c r="C58" s="617" t="s">
        <v>4204</v>
      </c>
      <c r="D58" s="617"/>
      <c r="E58" s="617"/>
      <c r="F58" s="617"/>
      <c r="G58" s="617"/>
      <c r="H58" s="617"/>
      <c r="I58" s="617"/>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row>
    <row r="59" spans="1:164">
      <c r="A59" s="617" t="s">
        <v>4205</v>
      </c>
      <c r="B59" s="617" t="s">
        <v>690</v>
      </c>
      <c r="C59" s="617" t="s">
        <v>2334</v>
      </c>
      <c r="D59" s="617" t="s">
        <v>2335</v>
      </c>
      <c r="E59" s="617" t="s">
        <v>2336</v>
      </c>
      <c r="F59" s="617" t="s">
        <v>202</v>
      </c>
      <c r="G59" s="617"/>
      <c r="H59" s="617"/>
      <c r="I59" s="617"/>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row>
    <row r="60" spans="1:164">
      <c r="A60" s="617" t="s">
        <v>4206</v>
      </c>
      <c r="B60" s="617" t="s">
        <v>691</v>
      </c>
      <c r="C60" s="617" t="s">
        <v>692</v>
      </c>
      <c r="D60" s="617" t="s">
        <v>202</v>
      </c>
      <c r="E60" s="617"/>
      <c r="F60" s="617"/>
      <c r="G60" s="617"/>
      <c r="H60" s="617"/>
      <c r="I60" s="617"/>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row>
    <row r="61" spans="1:164">
      <c r="A61" s="617" t="s">
        <v>4207</v>
      </c>
      <c r="B61" s="617" t="s">
        <v>4208</v>
      </c>
      <c r="C61" s="617" t="s">
        <v>4209</v>
      </c>
      <c r="D61" s="617" t="s">
        <v>4210</v>
      </c>
      <c r="E61" s="617" t="s">
        <v>4211</v>
      </c>
      <c r="F61" s="617" t="s">
        <v>4212</v>
      </c>
      <c r="G61" s="617" t="s">
        <v>3291</v>
      </c>
      <c r="H61" s="617" t="s">
        <v>4213</v>
      </c>
      <c r="I61" s="617" t="s">
        <v>4214</v>
      </c>
      <c r="J61" s="617" t="s">
        <v>4215</v>
      </c>
      <c r="K61" s="617" t="s">
        <v>4216</v>
      </c>
      <c r="L61" s="617" t="s">
        <v>202</v>
      </c>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row>
    <row r="62" spans="1:164">
      <c r="A62" s="617" t="s">
        <v>4217</v>
      </c>
      <c r="B62" s="617" t="s">
        <v>4218</v>
      </c>
      <c r="C62" s="617" t="s">
        <v>779</v>
      </c>
      <c r="D62" s="617"/>
      <c r="E62" s="617"/>
      <c r="F62" s="617"/>
      <c r="G62" s="617"/>
      <c r="H62" s="617"/>
      <c r="I62" s="617"/>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row>
    <row r="63" spans="1:164">
      <c r="A63" s="617" t="s">
        <v>4219</v>
      </c>
      <c r="B63" s="617"/>
      <c r="C63" s="617"/>
      <c r="D63" s="617"/>
      <c r="E63" s="617"/>
      <c r="F63" s="617"/>
      <c r="G63" s="617"/>
      <c r="H63" s="617"/>
      <c r="I63" s="617"/>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row>
    <row r="64" spans="1:164">
      <c r="A64" s="617" t="s">
        <v>4220</v>
      </c>
      <c r="B64" s="617" t="s">
        <v>4221</v>
      </c>
      <c r="C64" s="617" t="s">
        <v>4222</v>
      </c>
      <c r="D64" s="617" t="s">
        <v>4223</v>
      </c>
      <c r="E64" s="617" t="s">
        <v>202</v>
      </c>
      <c r="F64" s="617"/>
      <c r="G64" s="617"/>
      <c r="H64" s="617"/>
      <c r="I64" s="617"/>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row>
    <row r="65" spans="1:164">
      <c r="A65" s="617" t="s">
        <v>4224</v>
      </c>
      <c r="B65" s="617" t="s">
        <v>2233</v>
      </c>
      <c r="C65" s="617" t="s">
        <v>4225</v>
      </c>
      <c r="D65" s="617" t="s">
        <v>4226</v>
      </c>
      <c r="E65" s="617" t="s">
        <v>4227</v>
      </c>
      <c r="F65" s="617" t="s">
        <v>2337</v>
      </c>
      <c r="G65" s="617" t="s">
        <v>62</v>
      </c>
      <c r="H65" s="617" t="s">
        <v>2874</v>
      </c>
      <c r="I65" s="617" t="s">
        <v>910</v>
      </c>
      <c r="J65" s="617" t="s">
        <v>2340</v>
      </c>
      <c r="K65" s="617" t="s">
        <v>4228</v>
      </c>
      <c r="L65" s="617" t="s">
        <v>747</v>
      </c>
      <c r="M65" s="617" t="s">
        <v>748</v>
      </c>
      <c r="N65" s="617" t="s">
        <v>988</v>
      </c>
      <c r="O65" s="617" t="s">
        <v>955</v>
      </c>
      <c r="P65" s="617" t="s">
        <v>744</v>
      </c>
      <c r="Q65" s="617"/>
      <c r="R65" s="617" t="s">
        <v>997</v>
      </c>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row>
    <row r="66" spans="1:164">
      <c r="A66" s="617" t="s">
        <v>4229</v>
      </c>
      <c r="B66" s="617" t="s">
        <v>4230</v>
      </c>
      <c r="C66" s="617" t="s">
        <v>4231</v>
      </c>
      <c r="D66" s="617" t="s">
        <v>4232</v>
      </c>
      <c r="E66" s="617" t="s">
        <v>4233</v>
      </c>
      <c r="F66" s="617" t="s">
        <v>4234</v>
      </c>
      <c r="G66" s="617" t="s">
        <v>4235</v>
      </c>
      <c r="H66" s="617" t="s">
        <v>4236</v>
      </c>
      <c r="I66" s="617" t="s">
        <v>4237</v>
      </c>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row>
    <row r="67" spans="1:164">
      <c r="A67" s="617" t="s">
        <v>4238</v>
      </c>
      <c r="B67" s="617" t="s">
        <v>4239</v>
      </c>
      <c r="C67" s="617" t="s">
        <v>4240</v>
      </c>
      <c r="D67" s="617" t="s">
        <v>4241</v>
      </c>
      <c r="E67" s="617" t="s">
        <v>4242</v>
      </c>
      <c r="F67" s="617" t="s">
        <v>4243</v>
      </c>
      <c r="G67" s="617" t="s">
        <v>4244</v>
      </c>
      <c r="H67" s="617" t="s">
        <v>4245</v>
      </c>
      <c r="I67" s="617" t="s">
        <v>4246</v>
      </c>
      <c r="J67" s="617" t="s">
        <v>2836</v>
      </c>
      <c r="K67" s="617" t="s">
        <v>4189</v>
      </c>
      <c r="L67" s="617" t="s">
        <v>4247</v>
      </c>
      <c r="M67" s="617" t="s">
        <v>4248</v>
      </c>
      <c r="N67" s="617" t="s">
        <v>4103</v>
      </c>
      <c r="O67" s="617"/>
      <c r="P67" s="617"/>
      <c r="Q67" s="617"/>
      <c r="R67" s="617"/>
      <c r="S67" s="617"/>
      <c r="T67" s="617"/>
      <c r="U67" s="617"/>
      <c r="V67" s="617"/>
      <c r="W67" s="617"/>
      <c r="X67" s="617"/>
      <c r="Y67" s="617"/>
      <c r="Z67" s="617"/>
      <c r="AA67" s="617"/>
      <c r="AB67" s="617"/>
      <c r="AC67" s="617"/>
      <c r="AD67" s="617"/>
      <c r="AE67" s="617"/>
      <c r="AF67" s="617"/>
      <c r="AG67" s="617"/>
      <c r="AH67" s="617"/>
      <c r="AI67" s="617"/>
      <c r="AJ67" s="617"/>
      <c r="AK67" s="617"/>
      <c r="AL67" s="617"/>
      <c r="AM67" s="617"/>
      <c r="AN67" s="617"/>
      <c r="AO67" s="617"/>
      <c r="AP67" s="617"/>
      <c r="AQ67" s="617"/>
      <c r="AR67" s="617"/>
      <c r="AS67" s="617"/>
      <c r="AT67" s="617"/>
      <c r="AU67" s="617"/>
      <c r="AV67" s="617"/>
      <c r="AW67" s="617"/>
      <c r="AX67" s="617"/>
      <c r="AY67" s="617"/>
      <c r="AZ67" s="617"/>
      <c r="BA67" s="617"/>
      <c r="BB67" s="617"/>
      <c r="BC67" s="617"/>
      <c r="BD67" s="617"/>
      <c r="BE67" s="617"/>
      <c r="BF67" s="617"/>
      <c r="BG67" s="617"/>
      <c r="BH67" s="617"/>
      <c r="BI67" s="617"/>
      <c r="BJ67" s="617"/>
      <c r="BK67" s="617"/>
      <c r="BL67" s="617"/>
      <c r="BM67" s="617"/>
      <c r="BN67" s="617"/>
      <c r="BO67" s="617"/>
      <c r="BP67" s="617"/>
      <c r="BQ67" s="617"/>
      <c r="BR67" s="617"/>
      <c r="BS67" s="617"/>
      <c r="BT67" s="617"/>
      <c r="BU67" s="617"/>
      <c r="BV67" s="617"/>
      <c r="BW67" s="617"/>
      <c r="BX67" s="617"/>
      <c r="BY67" s="617"/>
      <c r="BZ67" s="617"/>
      <c r="CA67" s="617"/>
      <c r="CB67" s="617"/>
      <c r="CC67" s="617"/>
      <c r="CD67" s="617"/>
      <c r="CE67" s="617"/>
      <c r="CF67" s="617"/>
      <c r="CG67" s="617"/>
      <c r="CH67" s="617"/>
      <c r="CI67" s="617"/>
      <c r="CJ67" s="617"/>
      <c r="CK67" s="617"/>
      <c r="CL67" s="617"/>
      <c r="CM67" s="617"/>
      <c r="CN67" s="617"/>
      <c r="CO67" s="617"/>
      <c r="CP67" s="617"/>
      <c r="CQ67" s="617"/>
      <c r="CR67" s="617"/>
      <c r="CS67" s="617"/>
      <c r="CT67" s="617"/>
      <c r="CU67" s="617"/>
      <c r="CV67" s="617"/>
      <c r="CW67" s="617"/>
      <c r="CX67" s="617"/>
      <c r="CY67" s="617"/>
      <c r="CZ67" s="617"/>
      <c r="DA67" s="617"/>
      <c r="DB67" s="617"/>
      <c r="DC67" s="617"/>
      <c r="DD67" s="617"/>
      <c r="DE67" s="617"/>
      <c r="DF67" s="617"/>
      <c r="DG67" s="617"/>
      <c r="DH67" s="617"/>
      <c r="DI67" s="617"/>
      <c r="DJ67" s="617"/>
      <c r="DK67" s="617"/>
      <c r="DL67" s="617"/>
      <c r="DM67" s="617"/>
      <c r="DN67" s="617"/>
      <c r="DO67" s="617"/>
      <c r="DP67" s="617"/>
      <c r="DQ67" s="617"/>
      <c r="DR67" s="617"/>
      <c r="DS67" s="617"/>
      <c r="DT67" s="617"/>
      <c r="DU67" s="617"/>
      <c r="DV67" s="617"/>
      <c r="DW67" s="617"/>
      <c r="DX67" s="617"/>
      <c r="DY67" s="617"/>
      <c r="DZ67" s="617"/>
      <c r="EA67" s="617"/>
      <c r="EB67" s="617"/>
      <c r="EC67" s="617"/>
      <c r="ED67" s="617"/>
      <c r="EE67" s="617"/>
      <c r="EF67" s="617"/>
      <c r="EG67" s="617"/>
      <c r="EH67" s="617"/>
      <c r="EI67" s="617"/>
      <c r="EJ67" s="617"/>
      <c r="EK67" s="617"/>
      <c r="EL67" s="617"/>
      <c r="EM67" s="617"/>
      <c r="EN67" s="617"/>
      <c r="EO67" s="617"/>
      <c r="EP67" s="617"/>
      <c r="EQ67" s="617"/>
      <c r="ER67" s="617"/>
      <c r="ES67" s="617"/>
      <c r="ET67" s="617"/>
      <c r="EU67" s="617"/>
      <c r="EV67" s="617"/>
      <c r="EW67" s="617"/>
      <c r="EX67" s="617"/>
      <c r="EY67" s="617"/>
      <c r="EZ67" s="617"/>
      <c r="FA67" s="617"/>
      <c r="FB67" s="617"/>
      <c r="FC67" s="617"/>
      <c r="FD67" s="617"/>
      <c r="FE67" s="617"/>
      <c r="FF67" s="617"/>
      <c r="FG67" s="617"/>
      <c r="FH67" s="617"/>
    </row>
    <row r="68" spans="1:164">
      <c r="A68" s="617" t="s">
        <v>4249</v>
      </c>
      <c r="B68" s="617" t="s">
        <v>9</v>
      </c>
      <c r="C68" s="617" t="s">
        <v>1878</v>
      </c>
      <c r="D68" s="617" t="s">
        <v>93</v>
      </c>
      <c r="E68" s="617" t="s">
        <v>88</v>
      </c>
      <c r="F68" s="617" t="s">
        <v>10</v>
      </c>
      <c r="G68" s="617" t="s">
        <v>528</v>
      </c>
      <c r="H68" s="617"/>
      <c r="I68" s="617"/>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row>
    <row r="69" spans="1:164">
      <c r="A69" s="617" t="s">
        <v>4250</v>
      </c>
      <c r="B69" s="617" t="s">
        <v>89</v>
      </c>
      <c r="C69" s="617" t="s">
        <v>745</v>
      </c>
      <c r="D69" s="617" t="s">
        <v>90</v>
      </c>
      <c r="E69" s="617"/>
      <c r="F69" s="617"/>
      <c r="G69" s="617"/>
      <c r="H69" s="617"/>
      <c r="I69" s="617"/>
      <c r="J69" s="617"/>
      <c r="K69" s="617"/>
      <c r="L69" s="617"/>
      <c r="M69" s="617"/>
      <c r="N69" s="617"/>
      <c r="O69" s="617"/>
      <c r="P69" s="617"/>
      <c r="Q69" s="617"/>
      <c r="R69" s="617"/>
      <c r="S69" s="617"/>
      <c r="T69" s="617"/>
      <c r="U69" s="617"/>
      <c r="V69" s="617"/>
      <c r="W69" s="617"/>
      <c r="X69" s="617"/>
      <c r="Y69" s="617"/>
      <c r="Z69" s="617"/>
      <c r="AA69" s="617"/>
      <c r="AB69" s="617"/>
      <c r="AC69" s="617"/>
      <c r="AD69" s="617"/>
      <c r="AE69" s="617"/>
      <c r="AF69" s="617"/>
      <c r="AG69" s="617"/>
      <c r="AH69" s="617"/>
      <c r="AI69" s="617"/>
      <c r="AJ69" s="617"/>
      <c r="AK69" s="617"/>
      <c r="AL69" s="617"/>
      <c r="AM69" s="617"/>
      <c r="AN69" s="617"/>
      <c r="AO69" s="617"/>
      <c r="AP69" s="617"/>
      <c r="AQ69" s="617"/>
      <c r="AR69" s="617"/>
      <c r="AS69" s="617"/>
      <c r="AT69" s="617"/>
      <c r="AU69" s="617"/>
      <c r="AV69" s="617"/>
      <c r="AW69" s="617"/>
      <c r="AX69" s="617"/>
      <c r="AY69" s="617"/>
      <c r="AZ69" s="617"/>
      <c r="BA69" s="617"/>
      <c r="BB69" s="617"/>
      <c r="BC69" s="617"/>
      <c r="BD69" s="617"/>
      <c r="BE69" s="617"/>
      <c r="BF69" s="617"/>
      <c r="BG69" s="617"/>
      <c r="BH69" s="617"/>
      <c r="BI69" s="617"/>
      <c r="BJ69" s="617"/>
      <c r="BK69" s="617"/>
      <c r="BL69" s="617"/>
      <c r="BM69" s="617"/>
      <c r="BN69" s="617"/>
      <c r="BO69" s="617"/>
      <c r="BP69" s="617"/>
      <c r="BQ69" s="617"/>
      <c r="BR69" s="617"/>
      <c r="BS69" s="617"/>
      <c r="BT69" s="617"/>
      <c r="BU69" s="617"/>
      <c r="BV69" s="617"/>
      <c r="BW69" s="617"/>
      <c r="BX69" s="617"/>
      <c r="BY69" s="617"/>
      <c r="BZ69" s="617"/>
      <c r="CA69" s="617"/>
      <c r="CB69" s="617"/>
      <c r="CC69" s="617"/>
      <c r="CD69" s="617"/>
      <c r="CE69" s="617"/>
      <c r="CF69" s="617"/>
      <c r="CG69" s="617"/>
      <c r="CH69" s="617"/>
      <c r="CI69" s="617"/>
      <c r="CJ69" s="617"/>
      <c r="CK69" s="617"/>
      <c r="CL69" s="617"/>
      <c r="CM69" s="617"/>
      <c r="CN69" s="617"/>
      <c r="CO69" s="617"/>
      <c r="CP69" s="617"/>
      <c r="CQ69" s="617"/>
      <c r="CR69" s="617"/>
      <c r="CS69" s="617"/>
      <c r="CT69" s="617"/>
      <c r="CU69" s="617"/>
      <c r="CV69" s="617"/>
      <c r="CW69" s="617"/>
      <c r="CX69" s="617"/>
      <c r="CY69" s="617"/>
      <c r="CZ69" s="617"/>
      <c r="DA69" s="617"/>
      <c r="DB69" s="617"/>
      <c r="DC69" s="617"/>
      <c r="DD69" s="617"/>
      <c r="DE69" s="617"/>
      <c r="DF69" s="617"/>
      <c r="DG69" s="617"/>
      <c r="DH69" s="617"/>
      <c r="DI69" s="617"/>
      <c r="DJ69" s="617"/>
      <c r="DK69" s="617"/>
      <c r="DL69" s="617"/>
      <c r="DM69" s="617"/>
      <c r="DN69" s="617"/>
      <c r="DO69" s="617"/>
      <c r="DP69" s="617"/>
      <c r="DQ69" s="617"/>
      <c r="DR69" s="617"/>
      <c r="DS69" s="617"/>
      <c r="DT69" s="617"/>
      <c r="DU69" s="617"/>
      <c r="DV69" s="617"/>
      <c r="DW69" s="617"/>
      <c r="DX69" s="617"/>
      <c r="DY69" s="617"/>
      <c r="DZ69" s="617"/>
      <c r="EA69" s="617"/>
      <c r="EB69" s="617"/>
      <c r="EC69" s="617"/>
      <c r="ED69" s="617"/>
      <c r="EE69" s="617"/>
      <c r="EF69" s="617"/>
      <c r="EG69" s="617"/>
      <c r="EH69" s="617"/>
      <c r="EI69" s="617"/>
      <c r="EJ69" s="617"/>
      <c r="EK69" s="617"/>
      <c r="EL69" s="617"/>
      <c r="EM69" s="617"/>
      <c r="EN69" s="617"/>
      <c r="EO69" s="617"/>
      <c r="EP69" s="617"/>
      <c r="EQ69" s="617"/>
      <c r="ER69" s="617"/>
      <c r="ES69" s="617"/>
      <c r="ET69" s="617"/>
      <c r="EU69" s="617"/>
      <c r="EV69" s="617"/>
      <c r="EW69" s="617"/>
      <c r="EX69" s="617"/>
      <c r="EY69" s="617"/>
      <c r="EZ69" s="617"/>
      <c r="FA69" s="617"/>
      <c r="FB69" s="617"/>
      <c r="FC69" s="617"/>
      <c r="FD69" s="617"/>
      <c r="FE69" s="617"/>
      <c r="FF69" s="617"/>
      <c r="FG69" s="617"/>
      <c r="FH69" s="617"/>
    </row>
    <row r="70" spans="1:164">
      <c r="A70" s="617" t="s">
        <v>4251</v>
      </c>
      <c r="B70" s="617" t="s">
        <v>0</v>
      </c>
      <c r="C70" s="617" t="s">
        <v>5</v>
      </c>
      <c r="D70" s="617" t="s">
        <v>6</v>
      </c>
      <c r="E70" s="617" t="s">
        <v>9</v>
      </c>
      <c r="F70" s="617" t="s">
        <v>88</v>
      </c>
      <c r="G70" s="617" t="s">
        <v>10</v>
      </c>
      <c r="H70" s="617" t="s">
        <v>78</v>
      </c>
      <c r="I70" s="617" t="s">
        <v>743</v>
      </c>
      <c r="J70" s="617" t="s">
        <v>745</v>
      </c>
      <c r="K70" s="617" t="s">
        <v>89</v>
      </c>
      <c r="L70" s="617" t="s">
        <v>423</v>
      </c>
      <c r="M70" s="617" t="s">
        <v>90</v>
      </c>
      <c r="N70" s="617" t="s">
        <v>750</v>
      </c>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row>
    <row r="71" spans="1:164">
      <c r="A71" s="617" t="s">
        <v>4252</v>
      </c>
      <c r="B71" s="617" t="s">
        <v>4253</v>
      </c>
      <c r="C71" s="617" t="s">
        <v>4254</v>
      </c>
      <c r="D71" s="617"/>
      <c r="E71" s="617"/>
      <c r="F71" s="617"/>
      <c r="G71" s="617"/>
      <c r="H71" s="617"/>
      <c r="I71" s="617"/>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row>
    <row r="72" spans="1:164">
      <c r="A72" s="617" t="s">
        <v>4255</v>
      </c>
      <c r="B72" s="617" t="s">
        <v>4126</v>
      </c>
      <c r="C72" s="617" t="s">
        <v>4256</v>
      </c>
      <c r="D72" s="617"/>
      <c r="E72" s="617"/>
      <c r="F72" s="617"/>
      <c r="G72" s="617"/>
      <c r="H72" s="617"/>
      <c r="I72" s="617"/>
      <c r="J72" s="617"/>
      <c r="K72" s="617"/>
      <c r="L72" s="617"/>
      <c r="M72" s="617"/>
      <c r="N72" s="617"/>
      <c r="O72" s="617"/>
      <c r="P72" s="617"/>
      <c r="Q72" s="617"/>
      <c r="R72" s="617"/>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row>
    <row r="73" spans="1:164">
      <c r="A73" s="617" t="s">
        <v>4257</v>
      </c>
      <c r="B73" s="617" t="s">
        <v>265</v>
      </c>
      <c r="C73" s="617" t="s">
        <v>359</v>
      </c>
      <c r="D73" s="617" t="s">
        <v>477</v>
      </c>
      <c r="E73" s="617" t="s">
        <v>203</v>
      </c>
      <c r="F73" s="617"/>
      <c r="G73" s="617"/>
      <c r="H73" s="617"/>
      <c r="I73" s="617"/>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row>
    <row r="74" spans="1:164">
      <c r="A74" s="617" t="s">
        <v>4258</v>
      </c>
      <c r="B74" s="617" t="s">
        <v>2472</v>
      </c>
      <c r="C74" s="617" t="s">
        <v>4259</v>
      </c>
      <c r="D74" s="617" t="s">
        <v>3075</v>
      </c>
      <c r="E74" s="617" t="s">
        <v>2462</v>
      </c>
      <c r="F74" s="617" t="s">
        <v>2457</v>
      </c>
      <c r="G74" s="617" t="s">
        <v>2451</v>
      </c>
      <c r="H74" s="617" t="s">
        <v>2464</v>
      </c>
      <c r="I74" s="617" t="s">
        <v>3074</v>
      </c>
      <c r="J74" s="617" t="s">
        <v>3552</v>
      </c>
      <c r="K74" s="617" t="s">
        <v>2473</v>
      </c>
      <c r="L74" s="617" t="s">
        <v>2474</v>
      </c>
      <c r="M74" s="617" t="s">
        <v>2454</v>
      </c>
      <c r="N74" s="617" t="s">
        <v>2463</v>
      </c>
      <c r="O74" s="617" t="s">
        <v>2458</v>
      </c>
      <c r="P74" s="617" t="s">
        <v>2469</v>
      </c>
      <c r="Q74" s="617" t="s">
        <v>202</v>
      </c>
      <c r="R74" s="617" t="s">
        <v>2471</v>
      </c>
      <c r="S74" s="617" t="s">
        <v>2450</v>
      </c>
      <c r="T74" s="617" t="s">
        <v>2459</v>
      </c>
      <c r="U74" s="617" t="s">
        <v>2452</v>
      </c>
      <c r="V74" s="617" t="s">
        <v>2466</v>
      </c>
      <c r="W74" s="617" t="s">
        <v>2460</v>
      </c>
      <c r="X74" s="617" t="s">
        <v>3073</v>
      </c>
      <c r="Y74" s="617" t="s">
        <v>2456</v>
      </c>
      <c r="Z74" s="617" t="s">
        <v>2448</v>
      </c>
      <c r="AA74" s="617" t="s">
        <v>2453</v>
      </c>
      <c r="AB74" s="617" t="s">
        <v>2465</v>
      </c>
      <c r="AC74" s="617" t="s">
        <v>2455</v>
      </c>
      <c r="AD74" s="617" t="s">
        <v>2468</v>
      </c>
      <c r="AE74" s="617" t="s">
        <v>447</v>
      </c>
      <c r="AF74" s="617" t="s">
        <v>2467</v>
      </c>
      <c r="AG74" s="617" t="s">
        <v>2470</v>
      </c>
      <c r="AH74" s="617" t="s">
        <v>4260</v>
      </c>
      <c r="AI74" s="617" t="s">
        <v>4261</v>
      </c>
      <c r="AJ74" s="617" t="s">
        <v>3080</v>
      </c>
      <c r="AK74" s="617" t="s">
        <v>2418</v>
      </c>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row>
    <row r="75" spans="1:164">
      <c r="A75" s="617" t="s">
        <v>4262</v>
      </c>
      <c r="B75" s="617" t="s">
        <v>3075</v>
      </c>
      <c r="C75" s="617" t="s">
        <v>2462</v>
      </c>
      <c r="D75" s="617" t="s">
        <v>2484</v>
      </c>
      <c r="E75" s="617" t="s">
        <v>2451</v>
      </c>
      <c r="F75" s="617" t="s">
        <v>2464</v>
      </c>
      <c r="G75" s="617" t="s">
        <v>2449</v>
      </c>
      <c r="H75" s="617" t="s">
        <v>2485</v>
      </c>
      <c r="I75" s="617" t="s">
        <v>2473</v>
      </c>
      <c r="J75" s="617" t="s">
        <v>2474</v>
      </c>
      <c r="K75" s="617" t="s">
        <v>2454</v>
      </c>
      <c r="L75" s="617" t="s">
        <v>2463</v>
      </c>
      <c r="M75" s="617" t="s">
        <v>2458</v>
      </c>
      <c r="N75" s="617" t="s">
        <v>2469</v>
      </c>
      <c r="O75" s="617" t="s">
        <v>202</v>
      </c>
      <c r="P75" s="617" t="s">
        <v>2472</v>
      </c>
      <c r="Q75" s="617" t="s">
        <v>3080</v>
      </c>
      <c r="R75" s="617" t="s">
        <v>3073</v>
      </c>
      <c r="S75" s="617" t="s">
        <v>2471</v>
      </c>
      <c r="T75" s="617" t="s">
        <v>2450</v>
      </c>
      <c r="U75" s="617" t="s">
        <v>2483</v>
      </c>
      <c r="V75" s="617" t="s">
        <v>2452</v>
      </c>
      <c r="W75" s="617" t="s">
        <v>2466</v>
      </c>
      <c r="X75" s="617" t="s">
        <v>2460</v>
      </c>
      <c r="Y75" s="617" t="s">
        <v>2456</v>
      </c>
      <c r="Z75" s="617" t="s">
        <v>2448</v>
      </c>
      <c r="AA75" s="617" t="s">
        <v>2453</v>
      </c>
      <c r="AB75" s="617" t="s">
        <v>2465</v>
      </c>
      <c r="AC75" s="617" t="s">
        <v>2455</v>
      </c>
      <c r="AD75" s="617" t="s">
        <v>2487</v>
      </c>
      <c r="AE75" s="617" t="s">
        <v>2486</v>
      </c>
      <c r="AF75" s="617" t="s">
        <v>2467</v>
      </c>
      <c r="AG75" s="617" t="s">
        <v>2470</v>
      </c>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row>
    <row r="76" spans="1:164">
      <c r="A76" s="617" t="s">
        <v>4263</v>
      </c>
      <c r="B76" s="617" t="s">
        <v>2461</v>
      </c>
      <c r="C76" s="617" t="s">
        <v>2462</v>
      </c>
      <c r="D76" s="617" t="s">
        <v>2484</v>
      </c>
      <c r="E76" s="617" t="s">
        <v>2451</v>
      </c>
      <c r="F76" s="617" t="s">
        <v>2464</v>
      </c>
      <c r="G76" s="617" t="s">
        <v>2449</v>
      </c>
      <c r="H76" s="617" t="s">
        <v>2485</v>
      </c>
      <c r="I76" s="617" t="s">
        <v>2473</v>
      </c>
      <c r="J76" s="617" t="s">
        <v>2474</v>
      </c>
      <c r="K76" s="617" t="s">
        <v>2454</v>
      </c>
      <c r="L76" s="617" t="s">
        <v>2463</v>
      </c>
      <c r="M76" s="617" t="s">
        <v>2458</v>
      </c>
      <c r="N76" s="617" t="s">
        <v>2469</v>
      </c>
      <c r="O76" s="617" t="s">
        <v>202</v>
      </c>
      <c r="P76" s="617" t="s">
        <v>2472</v>
      </c>
      <c r="Q76" s="617" t="s">
        <v>3080</v>
      </c>
      <c r="R76" s="617" t="s">
        <v>3073</v>
      </c>
      <c r="S76" s="617" t="s">
        <v>2471</v>
      </c>
      <c r="T76" s="617" t="s">
        <v>2450</v>
      </c>
      <c r="U76" s="617" t="s">
        <v>2483</v>
      </c>
      <c r="V76" s="617" t="s">
        <v>2452</v>
      </c>
      <c r="W76" s="617" t="s">
        <v>2466</v>
      </c>
      <c r="X76" s="617" t="s">
        <v>2460</v>
      </c>
      <c r="Y76" s="617" t="s">
        <v>2456</v>
      </c>
      <c r="Z76" s="617" t="s">
        <v>2448</v>
      </c>
      <c r="AA76" s="617" t="s">
        <v>2453</v>
      </c>
      <c r="AB76" s="617" t="s">
        <v>2465</v>
      </c>
      <c r="AC76" s="617" t="s">
        <v>2455</v>
      </c>
      <c r="AD76" s="617" t="s">
        <v>2487</v>
      </c>
      <c r="AE76" s="617" t="s">
        <v>2486</v>
      </c>
      <c r="AF76" s="617" t="s">
        <v>2467</v>
      </c>
      <c r="AG76" s="617" t="s">
        <v>2470</v>
      </c>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row>
    <row r="77" spans="1:164">
      <c r="A77" s="617" t="s">
        <v>4264</v>
      </c>
      <c r="B77" s="617" t="s">
        <v>3088</v>
      </c>
      <c r="C77" s="617" t="s">
        <v>3073</v>
      </c>
      <c r="D77" s="617" t="s">
        <v>202</v>
      </c>
      <c r="E77" s="617" t="s">
        <v>3080</v>
      </c>
      <c r="F77" s="617" t="s">
        <v>3075</v>
      </c>
      <c r="G77" s="617"/>
      <c r="H77" s="617"/>
      <c r="I77" s="617"/>
      <c r="J77" s="617"/>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row>
    <row r="78" spans="1:164">
      <c r="A78" s="617" t="s">
        <v>4265</v>
      </c>
      <c r="B78" s="617" t="s">
        <v>4266</v>
      </c>
      <c r="C78" s="617" t="s">
        <v>3073</v>
      </c>
      <c r="D78" s="617" t="s">
        <v>202</v>
      </c>
      <c r="E78" s="617" t="s">
        <v>3080</v>
      </c>
      <c r="F78" s="617" t="s">
        <v>3075</v>
      </c>
      <c r="G78" s="617"/>
      <c r="H78" s="617"/>
      <c r="I78" s="617"/>
      <c r="J78" s="617"/>
      <c r="K78" s="617"/>
      <c r="L78" s="617"/>
      <c r="M78" s="617"/>
      <c r="N78" s="617"/>
      <c r="O78" s="617"/>
      <c r="P78" s="617"/>
      <c r="Q78" s="617"/>
      <c r="R78" s="617"/>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row>
    <row r="79" spans="1:164">
      <c r="A79" s="617" t="s">
        <v>4267</v>
      </c>
      <c r="B79" s="617" t="s">
        <v>3092</v>
      </c>
      <c r="C79" s="617" t="s">
        <v>3080</v>
      </c>
      <c r="D79" s="617" t="s">
        <v>202</v>
      </c>
      <c r="E79" s="617" t="s">
        <v>3079</v>
      </c>
      <c r="F79" s="617" t="s">
        <v>3093</v>
      </c>
      <c r="G79" s="617"/>
      <c r="H79" s="617"/>
      <c r="I79" s="617"/>
      <c r="J79" s="617"/>
      <c r="K79" s="617"/>
      <c r="L79" s="617"/>
      <c r="M79" s="617"/>
      <c r="N79" s="617"/>
      <c r="O79" s="617"/>
      <c r="P79" s="617"/>
      <c r="Q79" s="617"/>
      <c r="R79" s="617"/>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row>
    <row r="80" spans="1:164">
      <c r="A80" s="617" t="s">
        <v>4263</v>
      </c>
      <c r="B80" s="617" t="s">
        <v>3094</v>
      </c>
      <c r="C80" s="617" t="s">
        <v>3096</v>
      </c>
      <c r="D80" s="617" t="s">
        <v>3074</v>
      </c>
      <c r="E80" s="617" t="s">
        <v>202</v>
      </c>
      <c r="F80" s="617" t="s">
        <v>3095</v>
      </c>
      <c r="G80" s="617" t="s">
        <v>3080</v>
      </c>
      <c r="H80" s="617" t="s">
        <v>3075</v>
      </c>
      <c r="I80" s="617"/>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row>
    <row r="81" spans="1:164">
      <c r="A81" s="617" t="s">
        <v>4268</v>
      </c>
      <c r="B81" s="617" t="s">
        <v>2836</v>
      </c>
      <c r="C81" s="617" t="s">
        <v>594</v>
      </c>
      <c r="D81" s="617" t="s">
        <v>2837</v>
      </c>
      <c r="E81" s="617"/>
      <c r="F81" s="617"/>
      <c r="G81" s="617"/>
      <c r="H81" s="617"/>
      <c r="I81" s="617"/>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row>
    <row r="82" spans="1:164">
      <c r="A82" s="617" t="s">
        <v>4269</v>
      </c>
      <c r="B82" s="617"/>
      <c r="C82" s="617"/>
      <c r="D82" s="617"/>
      <c r="E82" s="617"/>
      <c r="F82" s="617"/>
      <c r="G82" s="617"/>
      <c r="H82" s="617"/>
      <c r="I82" s="617"/>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row>
    <row r="83" spans="1:164">
      <c r="A83" s="617" t="s">
        <v>4270</v>
      </c>
      <c r="B83" s="617"/>
      <c r="C83" s="617"/>
      <c r="D83" s="617"/>
      <c r="E83" s="617"/>
      <c r="F83" s="617"/>
      <c r="G83" s="617"/>
      <c r="H83" s="617"/>
      <c r="I83" s="617"/>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row>
    <row r="84" spans="1:164">
      <c r="A84" s="617" t="s">
        <v>4271</v>
      </c>
      <c r="B84" s="617"/>
      <c r="C84" s="617"/>
      <c r="D84" s="617"/>
      <c r="E84" s="617"/>
      <c r="F84" s="617"/>
      <c r="G84" s="617"/>
      <c r="H84" s="617"/>
      <c r="I84" s="617"/>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row>
    <row r="85" spans="1:164">
      <c r="A85" s="617" t="s">
        <v>4272</v>
      </c>
      <c r="B85" s="617"/>
      <c r="C85" s="617"/>
      <c r="D85" s="617"/>
      <c r="E85" s="617"/>
      <c r="F85" s="617"/>
      <c r="G85" s="617"/>
      <c r="H85" s="617"/>
      <c r="I85" s="617"/>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row>
    <row r="86" spans="1:164">
      <c r="A86" s="617" t="s">
        <v>4273</v>
      </c>
      <c r="B86" s="617"/>
      <c r="C86" s="617"/>
      <c r="D86" s="617"/>
      <c r="E86" s="617"/>
      <c r="F86" s="617"/>
      <c r="G86" s="617"/>
      <c r="H86" s="617"/>
      <c r="I86" s="617"/>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row>
    <row r="87" spans="1:164">
      <c r="A87" s="617" t="s">
        <v>4274</v>
      </c>
      <c r="B87" s="617" t="s">
        <v>2371</v>
      </c>
      <c r="C87" s="617" t="s">
        <v>2372</v>
      </c>
      <c r="D87" s="617" t="s">
        <v>2373</v>
      </c>
      <c r="E87" s="617" t="s">
        <v>2374</v>
      </c>
      <c r="F87" s="617" t="s">
        <v>2375</v>
      </c>
      <c r="G87" s="617" t="s">
        <v>2376</v>
      </c>
      <c r="H87" s="617" t="s">
        <v>2377</v>
      </c>
      <c r="I87" s="617" t="s">
        <v>202</v>
      </c>
      <c r="J87" s="617"/>
      <c r="K87" s="617"/>
      <c r="L87" s="617"/>
      <c r="M87" s="617"/>
      <c r="N87" s="617"/>
      <c r="O87" s="617"/>
      <c r="P87" s="617"/>
      <c r="Q87" s="617"/>
      <c r="R87" s="617"/>
      <c r="S87" s="617"/>
      <c r="T87" s="617"/>
      <c r="U87" s="617"/>
      <c r="V87" s="617"/>
      <c r="W87" s="617"/>
      <c r="X87" s="617"/>
      <c r="Y87" s="617"/>
      <c r="Z87" s="617"/>
      <c r="AA87" s="617"/>
      <c r="AB87" s="617"/>
      <c r="AC87" s="617"/>
      <c r="AD87" s="617"/>
      <c r="AE87" s="617"/>
      <c r="AF87" s="617"/>
      <c r="AG87" s="617"/>
      <c r="AH87" s="617"/>
      <c r="AI87" s="617"/>
      <c r="AJ87" s="617"/>
      <c r="AK87" s="617"/>
      <c r="AL87" s="617"/>
      <c r="AM87" s="617"/>
      <c r="AN87" s="617"/>
      <c r="AO87" s="617"/>
      <c r="AP87" s="617"/>
      <c r="AQ87" s="617"/>
      <c r="AR87" s="617"/>
      <c r="AS87" s="617"/>
      <c r="AT87" s="617"/>
      <c r="AU87" s="617"/>
      <c r="AV87" s="617"/>
      <c r="AW87" s="617"/>
      <c r="AX87" s="617"/>
      <c r="AY87" s="617"/>
      <c r="AZ87" s="617"/>
      <c r="BA87" s="617"/>
      <c r="BB87" s="617"/>
      <c r="BC87" s="617"/>
      <c r="BD87" s="617"/>
      <c r="BE87" s="617"/>
      <c r="BF87" s="617"/>
      <c r="BG87" s="617"/>
      <c r="BH87" s="617"/>
      <c r="BI87" s="617"/>
      <c r="BJ87" s="617"/>
      <c r="BK87" s="617"/>
      <c r="BL87" s="617"/>
      <c r="BM87" s="617"/>
      <c r="BN87" s="617"/>
      <c r="BO87" s="617"/>
      <c r="BP87" s="617"/>
      <c r="BQ87" s="617"/>
      <c r="BR87" s="617"/>
      <c r="BS87" s="617"/>
      <c r="BT87" s="617"/>
      <c r="BU87" s="617"/>
      <c r="BV87" s="617"/>
      <c r="BW87" s="617"/>
      <c r="BX87" s="617"/>
      <c r="BY87" s="617"/>
      <c r="BZ87" s="617"/>
      <c r="CA87" s="617"/>
      <c r="CB87" s="617"/>
      <c r="CC87" s="617"/>
      <c r="CD87" s="617"/>
      <c r="CE87" s="617"/>
      <c r="CF87" s="617"/>
      <c r="CG87" s="617"/>
      <c r="CH87" s="617"/>
      <c r="CI87" s="617"/>
      <c r="CJ87" s="617"/>
      <c r="CK87" s="617"/>
      <c r="CL87" s="617"/>
      <c r="CM87" s="617"/>
      <c r="CN87" s="617"/>
      <c r="CO87" s="617"/>
      <c r="CP87" s="617"/>
      <c r="CQ87" s="617"/>
      <c r="CR87" s="617"/>
      <c r="CS87" s="617"/>
      <c r="CT87" s="617"/>
      <c r="CU87" s="617"/>
      <c r="CV87" s="617"/>
      <c r="CW87" s="617"/>
      <c r="CX87" s="617"/>
      <c r="CY87" s="617"/>
      <c r="CZ87" s="617"/>
      <c r="DA87" s="617"/>
      <c r="DB87" s="617"/>
      <c r="DC87" s="617"/>
      <c r="DD87" s="617"/>
      <c r="DE87" s="617"/>
      <c r="DF87" s="617"/>
      <c r="DG87" s="617"/>
      <c r="DH87" s="617"/>
      <c r="DI87" s="617"/>
      <c r="DJ87" s="617"/>
      <c r="DK87" s="617"/>
      <c r="DL87" s="617"/>
      <c r="DM87" s="617"/>
      <c r="DN87" s="617"/>
      <c r="DO87" s="617"/>
      <c r="DP87" s="617"/>
      <c r="DQ87" s="617"/>
      <c r="DR87" s="617"/>
      <c r="DS87" s="617"/>
      <c r="DT87" s="617"/>
      <c r="DU87" s="617"/>
      <c r="DV87" s="617"/>
      <c r="DW87" s="617"/>
      <c r="DX87" s="617"/>
      <c r="DY87" s="617"/>
      <c r="DZ87" s="617"/>
      <c r="EA87" s="617"/>
      <c r="EB87" s="617"/>
      <c r="EC87" s="617"/>
      <c r="ED87" s="617"/>
      <c r="EE87" s="617"/>
      <c r="EF87" s="617"/>
      <c r="EG87" s="617"/>
      <c r="EH87" s="617"/>
      <c r="EI87" s="617"/>
      <c r="EJ87" s="617"/>
      <c r="EK87" s="617"/>
      <c r="EL87" s="617"/>
      <c r="EM87" s="617"/>
      <c r="EN87" s="617"/>
      <c r="EO87" s="617"/>
      <c r="EP87" s="617"/>
      <c r="EQ87" s="617"/>
      <c r="ER87" s="617"/>
      <c r="ES87" s="617"/>
      <c r="ET87" s="617"/>
      <c r="EU87" s="617"/>
      <c r="EV87" s="617"/>
      <c r="EW87" s="617"/>
      <c r="EX87" s="617"/>
      <c r="EY87" s="617"/>
      <c r="EZ87" s="617"/>
      <c r="FA87" s="617"/>
      <c r="FB87" s="617"/>
      <c r="FC87" s="617"/>
      <c r="FD87" s="617"/>
      <c r="FE87" s="617"/>
      <c r="FF87" s="617"/>
      <c r="FG87" s="617"/>
      <c r="FH87" s="617"/>
    </row>
    <row r="88" spans="1:164">
      <c r="A88" s="617" t="s">
        <v>4275</v>
      </c>
      <c r="B88" s="617" t="s">
        <v>2378</v>
      </c>
      <c r="C88" s="617" t="s">
        <v>2379</v>
      </c>
      <c r="D88" s="617"/>
      <c r="E88" s="617"/>
      <c r="F88" s="617"/>
      <c r="G88" s="617"/>
      <c r="H88" s="617"/>
      <c r="I88" s="617"/>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row>
    <row r="89" spans="1:164">
      <c r="A89" s="617" t="s">
        <v>4276</v>
      </c>
      <c r="B89" s="617" t="s">
        <v>3386</v>
      </c>
      <c r="C89" s="617" t="s">
        <v>3387</v>
      </c>
      <c r="D89" s="617" t="s">
        <v>3388</v>
      </c>
      <c r="E89" s="617"/>
      <c r="F89" s="617"/>
      <c r="G89" s="617"/>
      <c r="H89" s="617"/>
      <c r="I89" s="617"/>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row>
    <row r="90" spans="1:164">
      <c r="A90" s="617" t="s">
        <v>4277</v>
      </c>
      <c r="B90" s="617" t="s">
        <v>6</v>
      </c>
      <c r="C90" s="617" t="s">
        <v>9</v>
      </c>
      <c r="D90" s="617"/>
      <c r="E90" s="617"/>
      <c r="F90" s="617"/>
      <c r="G90" s="617"/>
      <c r="H90" s="617"/>
      <c r="I90" s="617"/>
      <c r="J90" s="617"/>
      <c r="K90" s="617"/>
      <c r="L90" s="617"/>
      <c r="M90" s="617"/>
      <c r="N90" s="617"/>
      <c r="O90" s="617"/>
      <c r="P90" s="617"/>
      <c r="Q90" s="617"/>
      <c r="R90" s="617"/>
      <c r="S90" s="617"/>
      <c r="T90" s="617"/>
      <c r="U90" s="617"/>
      <c r="V90" s="617"/>
      <c r="W90" s="617"/>
      <c r="X90" s="617"/>
      <c r="Y90" s="617"/>
      <c r="Z90" s="617"/>
      <c r="AA90" s="617"/>
      <c r="AB90" s="617"/>
      <c r="AC90" s="617"/>
      <c r="AD90" s="617"/>
      <c r="AE90" s="617"/>
      <c r="AF90" s="617"/>
      <c r="AG90" s="617"/>
      <c r="AH90" s="617"/>
      <c r="AI90" s="617"/>
      <c r="AJ90" s="617"/>
      <c r="AK90" s="617"/>
      <c r="AL90" s="617"/>
      <c r="AM90" s="617"/>
      <c r="AN90" s="617"/>
      <c r="AO90" s="617"/>
      <c r="AP90" s="617"/>
      <c r="AQ90" s="617"/>
      <c r="AR90" s="617"/>
      <c r="AS90" s="617"/>
      <c r="AT90" s="617"/>
      <c r="AU90" s="617"/>
      <c r="AV90" s="617"/>
      <c r="AW90" s="617"/>
      <c r="AX90" s="617"/>
      <c r="AY90" s="617"/>
      <c r="AZ90" s="617"/>
      <c r="BA90" s="617"/>
      <c r="BB90" s="617"/>
      <c r="BC90" s="617"/>
      <c r="BD90" s="617"/>
      <c r="BE90" s="617"/>
      <c r="BF90" s="617"/>
      <c r="BG90" s="617"/>
      <c r="BH90" s="617"/>
      <c r="BI90" s="617"/>
      <c r="BJ90" s="617"/>
      <c r="BK90" s="617"/>
      <c r="BL90" s="617"/>
      <c r="BM90" s="617"/>
      <c r="BN90" s="617"/>
      <c r="BO90" s="617"/>
      <c r="BP90" s="617"/>
      <c r="BQ90" s="617"/>
      <c r="BR90" s="617"/>
      <c r="BS90" s="617"/>
      <c r="BT90" s="617"/>
      <c r="BU90" s="617"/>
      <c r="BV90" s="617"/>
      <c r="BW90" s="617"/>
      <c r="BX90" s="617"/>
      <c r="BY90" s="617"/>
      <c r="BZ90" s="617"/>
      <c r="CA90" s="617"/>
      <c r="CB90" s="617"/>
      <c r="CC90" s="617"/>
      <c r="CD90" s="617"/>
      <c r="CE90" s="617"/>
      <c r="CF90" s="617"/>
      <c r="CG90" s="617"/>
      <c r="CH90" s="617"/>
      <c r="CI90" s="617"/>
      <c r="CJ90" s="617"/>
      <c r="CK90" s="617"/>
      <c r="CL90" s="617"/>
      <c r="CM90" s="617"/>
      <c r="CN90" s="617"/>
      <c r="CO90" s="617"/>
      <c r="CP90" s="617"/>
      <c r="CQ90" s="617"/>
      <c r="CR90" s="617"/>
      <c r="CS90" s="617"/>
      <c r="CT90" s="617"/>
      <c r="CU90" s="617"/>
      <c r="CV90" s="617"/>
      <c r="CW90" s="617"/>
      <c r="CX90" s="617"/>
      <c r="CY90" s="617"/>
      <c r="CZ90" s="617"/>
      <c r="DA90" s="617"/>
      <c r="DB90" s="617"/>
      <c r="DC90" s="617"/>
      <c r="DD90" s="617"/>
      <c r="DE90" s="617"/>
      <c r="DF90" s="617"/>
      <c r="DG90" s="617"/>
      <c r="DH90" s="617"/>
      <c r="DI90" s="617"/>
      <c r="DJ90" s="617"/>
      <c r="DK90" s="617"/>
      <c r="DL90" s="617"/>
      <c r="DM90" s="617"/>
      <c r="DN90" s="617"/>
      <c r="DO90" s="617"/>
      <c r="DP90" s="617"/>
      <c r="DQ90" s="617"/>
      <c r="DR90" s="617"/>
      <c r="DS90" s="617"/>
      <c r="DT90" s="617"/>
      <c r="DU90" s="617"/>
      <c r="DV90" s="617"/>
      <c r="DW90" s="617"/>
      <c r="DX90" s="617"/>
      <c r="DY90" s="617"/>
      <c r="DZ90" s="617"/>
      <c r="EA90" s="617"/>
      <c r="EB90" s="617"/>
      <c r="EC90" s="617"/>
      <c r="ED90" s="617"/>
      <c r="EE90" s="617"/>
      <c r="EF90" s="617"/>
      <c r="EG90" s="617"/>
      <c r="EH90" s="617"/>
      <c r="EI90" s="617"/>
      <c r="EJ90" s="617"/>
      <c r="EK90" s="617"/>
      <c r="EL90" s="617"/>
      <c r="EM90" s="617"/>
      <c r="EN90" s="617"/>
      <c r="EO90" s="617"/>
      <c r="EP90" s="617"/>
      <c r="EQ90" s="617"/>
      <c r="ER90" s="617"/>
      <c r="ES90" s="617"/>
      <c r="ET90" s="617"/>
      <c r="EU90" s="617"/>
      <c r="EV90" s="617"/>
      <c r="EW90" s="617"/>
      <c r="EX90" s="617"/>
      <c r="EY90" s="617"/>
      <c r="EZ90" s="617"/>
      <c r="FA90" s="617"/>
      <c r="FB90" s="617"/>
      <c r="FC90" s="617"/>
      <c r="FD90" s="617"/>
      <c r="FE90" s="617"/>
      <c r="FF90" s="617"/>
      <c r="FG90" s="617"/>
      <c r="FH90" s="617"/>
    </row>
    <row r="91" spans="1:164">
      <c r="A91" s="617" t="s">
        <v>4278</v>
      </c>
      <c r="B91" s="617" t="s">
        <v>3437</v>
      </c>
      <c r="C91" s="617" t="s">
        <v>3438</v>
      </c>
      <c r="D91" s="617" t="s">
        <v>3439</v>
      </c>
      <c r="E91" s="617" t="s">
        <v>3440</v>
      </c>
      <c r="F91" s="617"/>
      <c r="G91" s="617"/>
      <c r="H91" s="617"/>
      <c r="I91" s="617"/>
      <c r="J91" s="617"/>
      <c r="K91" s="617"/>
      <c r="L91" s="617"/>
      <c r="M91" s="617"/>
      <c r="N91" s="617"/>
      <c r="O91" s="617"/>
      <c r="P91" s="617"/>
      <c r="Q91" s="617"/>
      <c r="R91" s="617"/>
      <c r="S91" s="617"/>
      <c r="T91" s="617"/>
      <c r="U91" s="617"/>
      <c r="V91" s="617"/>
      <c r="W91" s="617"/>
      <c r="X91" s="617"/>
      <c r="Y91" s="617"/>
      <c r="Z91" s="617"/>
      <c r="AA91" s="617"/>
      <c r="AB91" s="617"/>
      <c r="AC91" s="617"/>
      <c r="AD91" s="617"/>
      <c r="AE91" s="617"/>
      <c r="AF91" s="617"/>
      <c r="AG91" s="617"/>
      <c r="AH91" s="617"/>
      <c r="AI91" s="617"/>
      <c r="AJ91" s="617"/>
      <c r="AK91" s="617"/>
      <c r="AL91" s="617"/>
      <c r="AM91" s="617"/>
      <c r="AN91" s="617"/>
      <c r="AO91" s="617"/>
      <c r="AP91" s="617"/>
      <c r="AQ91" s="617"/>
      <c r="AR91" s="617"/>
      <c r="AS91" s="617"/>
      <c r="AT91" s="617"/>
      <c r="AU91" s="617"/>
      <c r="AV91" s="617"/>
      <c r="AW91" s="617"/>
      <c r="AX91" s="617"/>
      <c r="AY91" s="617"/>
      <c r="AZ91" s="617"/>
      <c r="BA91" s="617"/>
      <c r="BB91" s="617"/>
      <c r="BC91" s="617"/>
      <c r="BD91" s="617"/>
      <c r="BE91" s="617"/>
      <c r="BF91" s="617"/>
      <c r="BG91" s="617"/>
      <c r="BH91" s="617"/>
      <c r="BI91" s="617"/>
      <c r="BJ91" s="617"/>
      <c r="BK91" s="617"/>
      <c r="BL91" s="617"/>
      <c r="BM91" s="617"/>
      <c r="BN91" s="617"/>
      <c r="BO91" s="617"/>
      <c r="BP91" s="617"/>
      <c r="BQ91" s="617"/>
      <c r="BR91" s="617"/>
      <c r="BS91" s="617"/>
      <c r="BT91" s="617"/>
      <c r="BU91" s="617"/>
      <c r="BV91" s="617"/>
      <c r="BW91" s="617"/>
      <c r="BX91" s="617"/>
      <c r="BY91" s="617"/>
      <c r="BZ91" s="617"/>
      <c r="CA91" s="617"/>
      <c r="CB91" s="617"/>
      <c r="CC91" s="617"/>
      <c r="CD91" s="617"/>
      <c r="CE91" s="617"/>
      <c r="CF91" s="617"/>
      <c r="CG91" s="617"/>
      <c r="CH91" s="617"/>
      <c r="CI91" s="617"/>
      <c r="CJ91" s="617"/>
      <c r="CK91" s="617"/>
      <c r="CL91" s="617"/>
      <c r="CM91" s="617"/>
      <c r="CN91" s="617"/>
      <c r="CO91" s="617"/>
      <c r="CP91" s="617"/>
      <c r="CQ91" s="617"/>
      <c r="CR91" s="617"/>
      <c r="CS91" s="617"/>
      <c r="CT91" s="617"/>
      <c r="CU91" s="617"/>
      <c r="CV91" s="617"/>
      <c r="CW91" s="617"/>
      <c r="CX91" s="617"/>
      <c r="CY91" s="617"/>
      <c r="CZ91" s="617"/>
      <c r="DA91" s="617"/>
      <c r="DB91" s="617"/>
      <c r="DC91" s="617"/>
      <c r="DD91" s="617"/>
      <c r="DE91" s="617"/>
      <c r="DF91" s="617"/>
      <c r="DG91" s="617"/>
      <c r="DH91" s="617"/>
      <c r="DI91" s="617"/>
      <c r="DJ91" s="617"/>
      <c r="DK91" s="617"/>
      <c r="DL91" s="617"/>
      <c r="DM91" s="617"/>
      <c r="DN91" s="617"/>
      <c r="DO91" s="617"/>
      <c r="DP91" s="617"/>
      <c r="DQ91" s="617"/>
      <c r="DR91" s="617"/>
      <c r="DS91" s="617"/>
      <c r="DT91" s="617"/>
      <c r="DU91" s="617"/>
      <c r="DV91" s="617"/>
      <c r="DW91" s="617"/>
      <c r="DX91" s="617"/>
      <c r="DY91" s="617"/>
      <c r="DZ91" s="617"/>
      <c r="EA91" s="617"/>
      <c r="EB91" s="617"/>
      <c r="EC91" s="617"/>
      <c r="ED91" s="617"/>
      <c r="EE91" s="617"/>
      <c r="EF91" s="617"/>
      <c r="EG91" s="617"/>
      <c r="EH91" s="617"/>
      <c r="EI91" s="617"/>
      <c r="EJ91" s="617"/>
      <c r="EK91" s="617"/>
      <c r="EL91" s="617"/>
      <c r="EM91" s="617"/>
      <c r="EN91" s="617"/>
      <c r="EO91" s="617"/>
      <c r="EP91" s="617"/>
      <c r="EQ91" s="617"/>
      <c r="ER91" s="617"/>
      <c r="ES91" s="617"/>
      <c r="ET91" s="617"/>
      <c r="EU91" s="617"/>
      <c r="EV91" s="617"/>
      <c r="EW91" s="617"/>
      <c r="EX91" s="617"/>
      <c r="EY91" s="617"/>
      <c r="EZ91" s="617"/>
      <c r="FA91" s="617"/>
      <c r="FB91" s="617"/>
      <c r="FC91" s="617"/>
      <c r="FD91" s="617"/>
      <c r="FE91" s="617"/>
      <c r="FF91" s="617"/>
      <c r="FG91" s="617"/>
      <c r="FH91" s="617"/>
    </row>
    <row r="92" spans="1:164">
      <c r="A92" s="617" t="s">
        <v>4279</v>
      </c>
      <c r="B92" s="617" t="s">
        <v>0</v>
      </c>
      <c r="C92" s="617" t="s">
        <v>5</v>
      </c>
      <c r="D92" s="617" t="s">
        <v>3</v>
      </c>
      <c r="E92" s="617" t="s">
        <v>420</v>
      </c>
      <c r="F92" s="617" t="s">
        <v>3464</v>
      </c>
      <c r="G92" s="617" t="s">
        <v>88</v>
      </c>
      <c r="H92" s="617" t="s">
        <v>10</v>
      </c>
      <c r="I92" s="617" t="s">
        <v>78</v>
      </c>
      <c r="J92" s="617" t="s">
        <v>77</v>
      </c>
      <c r="K92" s="617" t="s">
        <v>913</v>
      </c>
      <c r="L92" s="617" t="s">
        <v>915</v>
      </c>
      <c r="M92" s="617" t="s">
        <v>79</v>
      </c>
      <c r="N92" s="617" t="s">
        <v>12</v>
      </c>
      <c r="O92" s="617" t="s">
        <v>14</v>
      </c>
      <c r="P92" s="617" t="s">
        <v>16</v>
      </c>
      <c r="Q92" s="617" t="s">
        <v>11</v>
      </c>
      <c r="R92" s="617" t="s">
        <v>20</v>
      </c>
      <c r="S92" s="617" t="s">
        <v>743</v>
      </c>
      <c r="T92" s="617" t="s">
        <v>19</v>
      </c>
      <c r="U92" s="617" t="s">
        <v>44</v>
      </c>
      <c r="V92" s="617" t="s">
        <v>745</v>
      </c>
      <c r="W92" s="617" t="s">
        <v>89</v>
      </c>
      <c r="X92" s="617" t="s">
        <v>423</v>
      </c>
      <c r="Y92" s="617" t="s">
        <v>3465</v>
      </c>
      <c r="Z92" s="617" t="s">
        <v>972</v>
      </c>
      <c r="AA92" s="617" t="s">
        <v>90</v>
      </c>
      <c r="AB92" s="617" t="s">
        <v>991</v>
      </c>
      <c r="AC92" s="617" t="s">
        <v>994</v>
      </c>
      <c r="AD92" s="617" t="s">
        <v>750</v>
      </c>
      <c r="AE92" s="617" t="s">
        <v>751</v>
      </c>
      <c r="AF92" s="617" t="s">
        <v>80</v>
      </c>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row>
    <row r="93" spans="1:164">
      <c r="A93" s="617" t="s">
        <v>4280</v>
      </c>
      <c r="B93" s="617" t="s">
        <v>365</v>
      </c>
      <c r="C93" s="617" t="s">
        <v>366</v>
      </c>
      <c r="D93" s="617" t="s">
        <v>367</v>
      </c>
      <c r="E93" s="617"/>
      <c r="F93" s="617"/>
      <c r="G93" s="617"/>
      <c r="H93" s="617"/>
      <c r="I93" s="617"/>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row>
    <row r="94" spans="1:164">
      <c r="A94" s="617" t="s">
        <v>4281</v>
      </c>
      <c r="B94" s="617" t="s">
        <v>297</v>
      </c>
      <c r="C94" s="617" t="s">
        <v>298</v>
      </c>
      <c r="D94" s="617" t="s">
        <v>299</v>
      </c>
      <c r="E94" s="617"/>
      <c r="F94" s="617"/>
      <c r="G94" s="617"/>
      <c r="H94" s="617"/>
      <c r="I94" s="617"/>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row>
    <row r="95" spans="1:164">
      <c r="A95" s="617" t="s">
        <v>3331</v>
      </c>
      <c r="B95" s="617" t="s">
        <v>3524</v>
      </c>
      <c r="C95" s="617" t="s">
        <v>4282</v>
      </c>
      <c r="D95" s="617" t="s">
        <v>3525</v>
      </c>
      <c r="E95" s="617" t="s">
        <v>202</v>
      </c>
      <c r="F95" s="617"/>
      <c r="G95" s="617"/>
      <c r="H95" s="617"/>
      <c r="I95" s="617"/>
      <c r="J95" s="617"/>
      <c r="K95" s="617"/>
      <c r="L95" s="617"/>
      <c r="M95" s="617"/>
      <c r="N95" s="617"/>
      <c r="O95" s="617"/>
      <c r="P95" s="617"/>
      <c r="Q95" s="617"/>
      <c r="R95" s="617"/>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row>
    <row r="96" spans="1:164">
      <c r="A96" s="617" t="s">
        <v>4283</v>
      </c>
      <c r="B96" s="617" t="s">
        <v>3531</v>
      </c>
      <c r="C96" s="617" t="s">
        <v>3532</v>
      </c>
      <c r="D96" s="617"/>
      <c r="E96" s="617"/>
      <c r="F96" s="617"/>
      <c r="G96" s="617"/>
      <c r="H96" s="617"/>
      <c r="I96" s="617"/>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row>
    <row r="97" spans="1:164">
      <c r="A97" s="617" t="s">
        <v>4284</v>
      </c>
      <c r="B97" s="617" t="s">
        <v>3550</v>
      </c>
      <c r="C97" s="617" t="s">
        <v>3094</v>
      </c>
      <c r="D97" s="617" t="s">
        <v>3551</v>
      </c>
      <c r="E97" s="617"/>
      <c r="F97" s="617" t="s">
        <v>3552</v>
      </c>
      <c r="G97" s="617" t="s">
        <v>2483</v>
      </c>
      <c r="H97" s="617" t="s">
        <v>3553</v>
      </c>
      <c r="I97" s="617" t="s">
        <v>2418</v>
      </c>
      <c r="J97" s="617" t="s">
        <v>3554</v>
      </c>
      <c r="K97" s="617" t="s">
        <v>3555</v>
      </c>
      <c r="L97" s="617" t="s">
        <v>3556</v>
      </c>
      <c r="M97" s="617" t="s">
        <v>3557</v>
      </c>
      <c r="N97" s="617" t="s">
        <v>3558</v>
      </c>
      <c r="O97" s="617" t="s">
        <v>448</v>
      </c>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row>
    <row r="98" spans="1:164">
      <c r="A98" s="617" t="s">
        <v>4285</v>
      </c>
      <c r="B98" s="617" t="s">
        <v>440</v>
      </c>
      <c r="C98" s="617" t="s">
        <v>3780</v>
      </c>
      <c r="D98" s="617"/>
      <c r="E98" s="617"/>
      <c r="F98" s="617"/>
      <c r="G98" s="617"/>
      <c r="H98" s="617"/>
      <c r="I98" s="617"/>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row>
    <row r="99" spans="1:164">
      <c r="A99" s="617" t="s">
        <v>4286</v>
      </c>
      <c r="B99" s="617" t="s">
        <v>2170</v>
      </c>
      <c r="C99" s="617" t="s">
        <v>4105</v>
      </c>
      <c r="D99" s="617" t="s">
        <v>3611</v>
      </c>
      <c r="E99" s="617" t="s">
        <v>4844</v>
      </c>
      <c r="F99" s="617" t="s">
        <v>202</v>
      </c>
      <c r="G99" s="617" t="s">
        <v>4845</v>
      </c>
      <c r="H99" s="617"/>
      <c r="I99" s="617"/>
      <c r="J99" s="617"/>
      <c r="K99" s="617"/>
      <c r="L99" s="617"/>
      <c r="M99" s="617"/>
      <c r="N99" s="617"/>
      <c r="O99" s="617"/>
      <c r="P99" s="617"/>
      <c r="Q99" s="617"/>
      <c r="R99" s="61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row>
    <row r="100" spans="1:164">
      <c r="A100" s="617" t="s">
        <v>4287</v>
      </c>
      <c r="B100" s="617" t="s">
        <v>512</v>
      </c>
      <c r="C100" s="617" t="s">
        <v>513</v>
      </c>
      <c r="D100" s="617"/>
      <c r="E100" s="617" t="s">
        <v>515</v>
      </c>
      <c r="F100" s="617" t="s">
        <v>2251</v>
      </c>
      <c r="G100" s="617" t="s">
        <v>2252</v>
      </c>
      <c r="H100" s="617" t="s">
        <v>202</v>
      </c>
      <c r="I100" s="617" t="s">
        <v>516</v>
      </c>
      <c r="J100" s="617" t="s">
        <v>517</v>
      </c>
      <c r="K100" s="617" t="s">
        <v>518</v>
      </c>
      <c r="L100" s="617" t="s">
        <v>519</v>
      </c>
      <c r="M100" s="617" t="s">
        <v>520</v>
      </c>
      <c r="N100" s="617" t="s">
        <v>2488</v>
      </c>
      <c r="O100" s="617" t="s">
        <v>2489</v>
      </c>
      <c r="P100" s="617" t="s">
        <v>2490</v>
      </c>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row>
    <row r="101" spans="1:164">
      <c r="A101" s="617" t="s">
        <v>4288</v>
      </c>
      <c r="B101" s="617" t="s">
        <v>533</v>
      </c>
      <c r="C101" s="617" t="s">
        <v>3657</v>
      </c>
      <c r="D101" s="617" t="s">
        <v>202</v>
      </c>
      <c r="E101" s="617"/>
      <c r="F101" s="617"/>
      <c r="G101" s="617"/>
      <c r="H101" s="617"/>
      <c r="I101" s="617"/>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row>
    <row r="102" spans="1:164">
      <c r="A102" s="617" t="s">
        <v>4289</v>
      </c>
      <c r="B102" s="617" t="s">
        <v>3681</v>
      </c>
      <c r="C102" s="617" t="s">
        <v>3682</v>
      </c>
      <c r="D102" s="617" t="s">
        <v>3683</v>
      </c>
      <c r="E102" s="617" t="s">
        <v>3684</v>
      </c>
      <c r="F102" s="617"/>
      <c r="G102" s="617"/>
      <c r="H102" s="617"/>
      <c r="I102" s="617"/>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row>
    <row r="103" spans="1:164">
      <c r="A103" s="617" t="s">
        <v>3834</v>
      </c>
      <c r="B103" s="617" t="s">
        <v>4290</v>
      </c>
      <c r="C103" s="617" t="s">
        <v>4291</v>
      </c>
      <c r="D103" s="617"/>
      <c r="E103" s="617"/>
      <c r="F103" s="617"/>
      <c r="G103" s="617"/>
      <c r="H103" s="617"/>
      <c r="I103" s="617"/>
      <c r="J103" s="617"/>
      <c r="K103" s="617"/>
      <c r="L103" s="617"/>
      <c r="M103" s="617"/>
      <c r="N103" s="617"/>
      <c r="O103" s="617"/>
      <c r="P103" s="617"/>
      <c r="Q103" s="617"/>
      <c r="R103" s="617"/>
      <c r="S103" s="617"/>
      <c r="T103" s="617"/>
      <c r="U103" s="617"/>
      <c r="V103" s="617"/>
      <c r="W103" s="617"/>
      <c r="X103" s="617"/>
      <c r="Y103" s="617"/>
      <c r="Z103" s="617"/>
      <c r="AA103" s="617"/>
      <c r="AB103" s="617"/>
      <c r="AC103" s="617"/>
      <c r="AD103" s="617"/>
      <c r="AE103" s="617"/>
      <c r="AF103" s="617"/>
      <c r="AG103" s="617"/>
      <c r="AH103" s="617"/>
      <c r="AI103" s="617"/>
      <c r="AJ103" s="617"/>
      <c r="AK103" s="617"/>
      <c r="AL103" s="617"/>
      <c r="AM103" s="617"/>
      <c r="AN103" s="617"/>
      <c r="AO103" s="617"/>
      <c r="AP103" s="617"/>
      <c r="AQ103" s="617"/>
      <c r="AR103" s="617"/>
      <c r="AS103" s="617"/>
      <c r="AT103" s="617"/>
      <c r="AU103" s="617"/>
      <c r="AV103" s="617"/>
      <c r="AW103" s="617"/>
      <c r="AX103" s="617"/>
      <c r="AY103" s="617"/>
      <c r="AZ103" s="617"/>
      <c r="BA103" s="617"/>
      <c r="BB103" s="617"/>
      <c r="BC103" s="617"/>
      <c r="BD103" s="617"/>
      <c r="BE103" s="617"/>
      <c r="BF103" s="617"/>
      <c r="BG103" s="617"/>
      <c r="BH103" s="617"/>
      <c r="BI103" s="617"/>
      <c r="BJ103" s="617"/>
      <c r="BK103" s="617"/>
      <c r="BL103" s="617"/>
      <c r="BM103" s="617"/>
      <c r="BN103" s="617"/>
      <c r="BO103" s="617"/>
      <c r="BP103" s="617"/>
      <c r="BQ103" s="617"/>
      <c r="BR103" s="617"/>
      <c r="BS103" s="617"/>
      <c r="BT103" s="617"/>
      <c r="BU103" s="617"/>
      <c r="BV103" s="617"/>
      <c r="BW103" s="617"/>
      <c r="BX103" s="617"/>
      <c r="BY103" s="617"/>
      <c r="BZ103" s="617"/>
      <c r="CA103" s="617"/>
      <c r="CB103" s="617"/>
      <c r="CC103" s="617"/>
      <c r="CD103" s="617"/>
      <c r="CE103" s="617"/>
      <c r="CF103" s="617"/>
      <c r="CG103" s="617"/>
      <c r="CH103" s="617"/>
      <c r="CI103" s="617"/>
      <c r="CJ103" s="617"/>
      <c r="CK103" s="617"/>
      <c r="CL103" s="617"/>
      <c r="CM103" s="617"/>
      <c r="CN103" s="617"/>
      <c r="CO103" s="617"/>
      <c r="CP103" s="617"/>
      <c r="CQ103" s="617"/>
      <c r="CR103" s="617"/>
      <c r="CS103" s="617"/>
      <c r="CT103" s="617"/>
      <c r="CU103" s="617"/>
      <c r="CV103" s="617"/>
      <c r="CW103" s="617"/>
      <c r="CX103" s="617"/>
      <c r="CY103" s="617"/>
      <c r="CZ103" s="617"/>
      <c r="DA103" s="617"/>
      <c r="DB103" s="617"/>
      <c r="DC103" s="617"/>
      <c r="DD103" s="617"/>
      <c r="DE103" s="617"/>
      <c r="DF103" s="617"/>
      <c r="DG103" s="617"/>
      <c r="DH103" s="617"/>
      <c r="DI103" s="617"/>
      <c r="DJ103" s="617"/>
      <c r="DK103" s="617"/>
      <c r="DL103" s="617"/>
      <c r="DM103" s="617"/>
      <c r="DN103" s="617"/>
      <c r="DO103" s="617"/>
      <c r="DP103" s="617"/>
      <c r="DQ103" s="617"/>
      <c r="DR103" s="617"/>
      <c r="DS103" s="617"/>
      <c r="DT103" s="617"/>
      <c r="DU103" s="617"/>
      <c r="DV103" s="617"/>
      <c r="DW103" s="617"/>
      <c r="DX103" s="617"/>
      <c r="DY103" s="617"/>
      <c r="DZ103" s="617"/>
      <c r="EA103" s="617"/>
      <c r="EB103" s="617"/>
      <c r="EC103" s="617"/>
      <c r="ED103" s="617"/>
      <c r="EE103" s="617"/>
      <c r="EF103" s="617"/>
      <c r="EG103" s="617"/>
      <c r="EH103" s="617"/>
      <c r="EI103" s="617"/>
      <c r="EJ103" s="617"/>
      <c r="EK103" s="617"/>
      <c r="EL103" s="617"/>
      <c r="EM103" s="617"/>
      <c r="EN103" s="617"/>
      <c r="EO103" s="617"/>
      <c r="EP103" s="617"/>
      <c r="EQ103" s="617"/>
      <c r="ER103" s="617"/>
      <c r="ES103" s="617"/>
      <c r="ET103" s="617"/>
      <c r="EU103" s="617"/>
      <c r="EV103" s="617"/>
      <c r="EW103" s="617"/>
      <c r="EX103" s="617"/>
      <c r="EY103" s="617"/>
      <c r="EZ103" s="617"/>
      <c r="FA103" s="617"/>
      <c r="FB103" s="617"/>
      <c r="FC103" s="617"/>
      <c r="FD103" s="617"/>
      <c r="FE103" s="617"/>
      <c r="FF103" s="617"/>
      <c r="FG103" s="617"/>
      <c r="FH103" s="617"/>
    </row>
    <row r="104" spans="1:164">
      <c r="A104" s="617" t="s">
        <v>3835</v>
      </c>
      <c r="B104" s="617" t="s">
        <v>4292</v>
      </c>
      <c r="C104" s="617" t="s">
        <v>4293</v>
      </c>
      <c r="D104" s="617" t="s">
        <v>4294</v>
      </c>
      <c r="E104" s="617" t="s">
        <v>4295</v>
      </c>
      <c r="F104" s="617"/>
      <c r="G104" s="617"/>
      <c r="H104" s="617"/>
      <c r="I104" s="617"/>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row>
    <row r="105" spans="1:164">
      <c r="A105" s="617" t="s">
        <v>3836</v>
      </c>
      <c r="B105" s="617" t="s">
        <v>4296</v>
      </c>
      <c r="C105" s="617" t="s">
        <v>4297</v>
      </c>
      <c r="D105" s="617" t="s">
        <v>4298</v>
      </c>
      <c r="E105" s="617" t="s">
        <v>4299</v>
      </c>
      <c r="F105" s="617" t="s">
        <v>4300</v>
      </c>
      <c r="G105" s="617"/>
      <c r="H105" s="617"/>
      <c r="I105" s="617"/>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row>
    <row r="106" spans="1:164">
      <c r="A106" s="617" t="s">
        <v>4301</v>
      </c>
      <c r="B106" s="617" t="s">
        <v>4302</v>
      </c>
      <c r="C106" s="617" t="s">
        <v>590</v>
      </c>
      <c r="D106" s="617" t="s">
        <v>4303</v>
      </c>
      <c r="E106" s="617" t="s">
        <v>591</v>
      </c>
      <c r="F106" s="617" t="s">
        <v>202</v>
      </c>
      <c r="G106" s="617"/>
      <c r="H106" s="617"/>
      <c r="I106" s="617"/>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row>
    <row r="107" spans="1:164">
      <c r="A107" s="617" t="s">
        <v>4304</v>
      </c>
      <c r="B107" s="617" t="s">
        <v>589</v>
      </c>
      <c r="C107" s="617" t="s">
        <v>590</v>
      </c>
      <c r="D107" s="617" t="s">
        <v>591</v>
      </c>
      <c r="E107" s="617" t="s">
        <v>592</v>
      </c>
      <c r="F107" s="617" t="s">
        <v>593</v>
      </c>
      <c r="G107" s="617" t="s">
        <v>3842</v>
      </c>
      <c r="H107" s="617"/>
      <c r="I107" s="617"/>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row>
    <row r="108" spans="1:164">
      <c r="A108" s="617" t="s">
        <v>4305</v>
      </c>
      <c r="B108" s="617" t="s">
        <v>57</v>
      </c>
      <c r="C108" s="617" t="s">
        <v>58</v>
      </c>
      <c r="D108" s="617" t="s">
        <v>2861</v>
      </c>
      <c r="E108" s="617" t="s">
        <v>2863</v>
      </c>
      <c r="F108" s="617" t="s">
        <v>59</v>
      </c>
      <c r="G108" s="617" t="s">
        <v>61</v>
      </c>
      <c r="H108" s="617" t="s">
        <v>64</v>
      </c>
      <c r="I108" s="617" t="s">
        <v>2866</v>
      </c>
      <c r="J108" s="617" t="s">
        <v>62</v>
      </c>
      <c r="K108" s="617" t="s">
        <v>2868</v>
      </c>
      <c r="L108" s="617" t="s">
        <v>2870</v>
      </c>
      <c r="M108" s="617" t="s">
        <v>904</v>
      </c>
      <c r="N108" s="617" t="s">
        <v>2874</v>
      </c>
      <c r="O108" s="617" t="s">
        <v>2824</v>
      </c>
      <c r="P108" s="617" t="s">
        <v>670</v>
      </c>
      <c r="Q108" s="617" t="s">
        <v>747</v>
      </c>
      <c r="R108" s="617" t="s">
        <v>744</v>
      </c>
      <c r="S108" s="617" t="s">
        <v>955</v>
      </c>
      <c r="T108" s="617" t="s">
        <v>748</v>
      </c>
      <c r="U108" s="617" t="s">
        <v>2876</v>
      </c>
      <c r="V108" s="617" t="s">
        <v>2878</v>
      </c>
      <c r="W108" s="617" t="s">
        <v>988</v>
      </c>
      <c r="X108" s="617" t="s">
        <v>997</v>
      </c>
      <c r="Y108" s="617" t="s">
        <v>2881</v>
      </c>
      <c r="Z108" s="617" t="s">
        <v>2883</v>
      </c>
      <c r="AA108" s="617" t="s">
        <v>980</v>
      </c>
      <c r="AB108" s="617" t="s">
        <v>3288</v>
      </c>
      <c r="AC108" s="617" t="s">
        <v>3289</v>
      </c>
      <c r="AD108" s="617" t="s">
        <v>3283</v>
      </c>
      <c r="AE108" s="617" t="s">
        <v>755</v>
      </c>
      <c r="AF108" s="617" t="s">
        <v>480</v>
      </c>
      <c r="AG108" s="617" t="s">
        <v>3890</v>
      </c>
      <c r="AH108" s="617" t="s">
        <v>3889</v>
      </c>
      <c r="AI108" s="617" t="s">
        <v>3891</v>
      </c>
      <c r="AJ108" s="617" t="s">
        <v>2232</v>
      </c>
      <c r="AK108" s="617" t="s">
        <v>1074</v>
      </c>
      <c r="AL108" s="617" t="s">
        <v>3892</v>
      </c>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row>
    <row r="109" spans="1:164">
      <c r="A109" s="617" t="s">
        <v>4306</v>
      </c>
      <c r="B109" s="617" t="s">
        <v>3893</v>
      </c>
      <c r="C109" s="617" t="s">
        <v>3894</v>
      </c>
      <c r="D109" s="617" t="s">
        <v>3895</v>
      </c>
      <c r="E109" s="617" t="s">
        <v>3896</v>
      </c>
      <c r="F109" s="617" t="s">
        <v>3897</v>
      </c>
      <c r="G109" s="617" t="s">
        <v>3898</v>
      </c>
      <c r="H109" s="617"/>
      <c r="I109" s="617" t="s">
        <v>3583</v>
      </c>
      <c r="J109" s="617" t="s">
        <v>3584</v>
      </c>
      <c r="K109" s="617" t="s">
        <v>3585</v>
      </c>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row>
  </sheetData>
  <phoneticPr fontId="1" type="noConversion"/>
  <pageMargins left="0.7" right="0.7" top="0.75" bottom="0.75" header="0.3" footer="0.3"/>
  <pageSetup paperSize="9" orientation="portrait" verticalDpi="0" r:id="rId1"/>
  <tableParts count="1">
    <tablePart r:id="rId2"/>
  </tableParts>
</worksheet>
</file>

<file path=xl/worksheets/sheet4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sheetPr codeName="Sheet421"/>
  <dimension ref="A1:E13"/>
  <sheetViews>
    <sheetView workbookViewId="0">
      <selection activeCell="C13" sqref="C13"/>
    </sheetView>
  </sheetViews>
  <sheetFormatPr defaultRowHeight="13.8"/>
  <cols>
    <col min="1" max="1" width="22.6640625" bestFit="1" customWidth="1"/>
    <col min="2" max="2" width="16.109375" bestFit="1" customWidth="1"/>
    <col min="3" max="3" width="18.33203125" bestFit="1" customWidth="1"/>
    <col min="4" max="4" width="20.44140625" bestFit="1" customWidth="1"/>
    <col min="5" max="5" width="12.109375" bestFit="1" customWidth="1"/>
  </cols>
  <sheetData>
    <row r="1" spans="1:5">
      <c r="A1" t="s">
        <v>3902</v>
      </c>
      <c r="B1" t="s">
        <v>3903</v>
      </c>
      <c r="C1" t="s">
        <v>3904</v>
      </c>
      <c r="D1" t="s">
        <v>3905</v>
      </c>
      <c r="E1" t="s">
        <v>3906</v>
      </c>
    </row>
    <row r="2" spans="1:5">
      <c r="A2" s="617" t="s">
        <v>3907</v>
      </c>
      <c r="B2" s="617" t="s">
        <v>3145</v>
      </c>
      <c r="C2" s="617" t="s">
        <v>3146</v>
      </c>
      <c r="D2" s="617"/>
      <c r="E2" s="617"/>
    </row>
    <row r="3" spans="1:5">
      <c r="A3" s="617" t="s">
        <v>3908</v>
      </c>
      <c r="B3" s="617" t="s">
        <v>3909</v>
      </c>
      <c r="C3" s="617" t="s">
        <v>3148</v>
      </c>
      <c r="D3" s="617" t="s">
        <v>3148</v>
      </c>
      <c r="E3" s="617"/>
    </row>
    <row r="4" spans="1:5">
      <c r="A4" s="617" t="s">
        <v>3910</v>
      </c>
      <c r="B4" s="617" t="s">
        <v>3911</v>
      </c>
      <c r="C4" s="617" t="s">
        <v>3154</v>
      </c>
      <c r="D4" s="617"/>
      <c r="E4" s="617"/>
    </row>
    <row r="5" spans="1:5">
      <c r="A5" s="617" t="s">
        <v>3912</v>
      </c>
      <c r="B5" s="617" t="s">
        <v>3913</v>
      </c>
      <c r="C5" s="617" t="s">
        <v>3164</v>
      </c>
      <c r="D5" s="617" t="s">
        <v>3165</v>
      </c>
      <c r="E5" s="617"/>
    </row>
    <row r="6" spans="1:5">
      <c r="A6" s="617" t="s">
        <v>3914</v>
      </c>
      <c r="B6" s="617" t="s">
        <v>3915</v>
      </c>
      <c r="C6" s="617" t="s">
        <v>3168</v>
      </c>
      <c r="D6" s="617" t="s">
        <v>3916</v>
      </c>
      <c r="E6" s="617"/>
    </row>
    <row r="7" spans="1:5">
      <c r="A7" s="617" t="s">
        <v>3917</v>
      </c>
      <c r="B7" s="617" t="s">
        <v>3918</v>
      </c>
      <c r="C7" s="617" t="s">
        <v>3170</v>
      </c>
      <c r="D7" s="617" t="s">
        <v>3919</v>
      </c>
      <c r="E7" s="617"/>
    </row>
    <row r="8" spans="1:5">
      <c r="A8" s="617" t="s">
        <v>3920</v>
      </c>
      <c r="B8" s="617" t="s">
        <v>3921</v>
      </c>
      <c r="C8" s="617" t="s">
        <v>3191</v>
      </c>
      <c r="D8" s="617" t="s">
        <v>3922</v>
      </c>
      <c r="E8" s="617"/>
    </row>
    <row r="9" spans="1:5">
      <c r="A9" s="617" t="s">
        <v>3923</v>
      </c>
      <c r="B9" s="617" t="s">
        <v>3193</v>
      </c>
      <c r="C9" s="617" t="s">
        <v>3924</v>
      </c>
      <c r="D9" s="617"/>
      <c r="E9" s="617"/>
    </row>
    <row r="10" spans="1:5">
      <c r="A10" s="617" t="s">
        <v>3925</v>
      </c>
      <c r="B10" s="617" t="s">
        <v>3926</v>
      </c>
      <c r="C10" s="617" t="s">
        <v>3195</v>
      </c>
      <c r="D10" s="617" t="s">
        <v>3927</v>
      </c>
      <c r="E10" s="617"/>
    </row>
    <row r="11" spans="1:5">
      <c r="A11" s="617" t="s">
        <v>3928</v>
      </c>
      <c r="B11" s="617" t="s">
        <v>3197</v>
      </c>
      <c r="C11" s="617" t="s">
        <v>3929</v>
      </c>
      <c r="D11" s="617"/>
      <c r="E11" s="617"/>
    </row>
    <row r="12" spans="1:5">
      <c r="A12" s="617" t="s">
        <v>3930</v>
      </c>
      <c r="B12" s="617" t="s">
        <v>3229</v>
      </c>
      <c r="C12" s="617" t="s">
        <v>3230</v>
      </c>
      <c r="D12" s="617"/>
      <c r="E12" s="617"/>
    </row>
    <row r="13" spans="1:5">
      <c r="A13" s="617" t="s">
        <v>4888</v>
      </c>
      <c r="B13" s="617" t="s">
        <v>4861</v>
      </c>
      <c r="C13" s="617" t="s">
        <v>4858</v>
      </c>
      <c r="D13" s="617" t="s">
        <v>2291</v>
      </c>
      <c r="E13" s="617" t="s">
        <v>4847</v>
      </c>
    </row>
  </sheetData>
  <phoneticPr fontId="1" type="noConversion"/>
  <pageMargins left="0.7" right="0.7" top="0.75" bottom="0.75" header="0.3" footer="0.3"/>
  <pageSetup paperSize="9" orientation="portrait" verticalDpi="0"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sheetPr codeName="Sheet40">
    <tabColor rgb="FFFFC000"/>
  </sheetPr>
  <dimension ref="A1:C11"/>
  <sheetViews>
    <sheetView workbookViewId="0">
      <selection activeCell="G9" sqref="G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88</v>
      </c>
      <c r="B2" s="42"/>
      <c r="C2" s="42"/>
    </row>
    <row r="3" spans="1:3" ht="14.4">
      <c r="A3" s="61" t="s">
        <v>89</v>
      </c>
      <c r="B3" s="42"/>
      <c r="C3" s="42"/>
    </row>
    <row r="4" spans="1:3" ht="14.4">
      <c r="A4" s="61" t="s">
        <v>90</v>
      </c>
      <c r="B4" s="42"/>
      <c r="C4" s="42"/>
    </row>
    <row r="5" spans="1:3" ht="14.4">
      <c r="A5" s="61" t="s">
        <v>91</v>
      </c>
      <c r="B5" s="42"/>
      <c r="C5" s="42"/>
    </row>
    <row r="6" spans="1:3" ht="14.4">
      <c r="A6" s="61" t="s">
        <v>80</v>
      </c>
      <c r="B6" s="55"/>
      <c r="C6" s="55"/>
    </row>
    <row r="7" spans="1:3" ht="14.4">
      <c r="A7" s="61" t="s">
        <v>92</v>
      </c>
      <c r="B7" s="55"/>
      <c r="C7" s="55"/>
    </row>
    <row r="8" spans="1:3" ht="14.4">
      <c r="A8" s="61" t="s">
        <v>93</v>
      </c>
      <c r="B8" s="55"/>
      <c r="C8" s="55"/>
    </row>
    <row r="9" spans="1:3" ht="14.4">
      <c r="A9" s="61" t="s">
        <v>94</v>
      </c>
      <c r="B9" s="55"/>
      <c r="C9" s="55"/>
    </row>
    <row r="10" spans="1:3" ht="14.4">
      <c r="A10" s="61" t="s">
        <v>70</v>
      </c>
      <c r="B10" s="55"/>
      <c r="C10" s="55"/>
    </row>
    <row r="11" spans="1:3" ht="14.4">
      <c r="A11" s="61" t="s">
        <v>72</v>
      </c>
      <c r="B11" s="55"/>
      <c r="C11" s="55"/>
    </row>
  </sheetData>
  <phoneticPr fontId="1" type="noConversion"/>
  <pageMargins left="0.7" right="0.7" top="0.75" bottom="0.75" header="0.3" footer="0.3"/>
</worksheet>
</file>

<file path=xl/worksheets/sheet4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5E398-49F3-4AF5-8F10-B6761F10EEDF}">
  <sheetPr codeName="Sheet422"/>
  <dimension ref="A1:B197"/>
  <sheetViews>
    <sheetView workbookViewId="0">
      <selection activeCell="B1" sqref="A1:B1048576"/>
    </sheetView>
  </sheetViews>
  <sheetFormatPr defaultRowHeight="13.8"/>
  <cols>
    <col min="1" max="1" width="68.77734375" bestFit="1" customWidth="1"/>
    <col min="2" max="2" width="16.77734375" bestFit="1" customWidth="1"/>
    <col min="4" max="4" width="9.109375" bestFit="1" customWidth="1"/>
  </cols>
  <sheetData>
    <row r="1" spans="1:2">
      <c r="A1" t="s">
        <v>4761</v>
      </c>
      <c r="B1" t="s">
        <v>4600</v>
      </c>
    </row>
    <row r="2" spans="1:2">
      <c r="A2" t="s">
        <v>4601</v>
      </c>
      <c r="B2">
        <v>20</v>
      </c>
    </row>
    <row r="3" spans="1:2">
      <c r="A3" t="s">
        <v>4602</v>
      </c>
      <c r="B3">
        <v>10</v>
      </c>
    </row>
    <row r="4" spans="1:2">
      <c r="A4" t="s">
        <v>4603</v>
      </c>
      <c r="B4">
        <v>10</v>
      </c>
    </row>
    <row r="5" spans="1:2">
      <c r="A5" t="s">
        <v>4604</v>
      </c>
      <c r="B5">
        <v>10</v>
      </c>
    </row>
    <row r="6" spans="1:2">
      <c r="A6" t="s">
        <v>4605</v>
      </c>
      <c r="B6">
        <v>10</v>
      </c>
    </row>
    <row r="7" spans="1:2">
      <c r="A7" t="s">
        <v>4606</v>
      </c>
      <c r="B7">
        <v>10</v>
      </c>
    </row>
    <row r="8" spans="1:2">
      <c r="A8" t="s">
        <v>4607</v>
      </c>
      <c r="B8">
        <v>10</v>
      </c>
    </row>
    <row r="9" spans="1:2">
      <c r="A9" t="s">
        <v>4608</v>
      </c>
      <c r="B9">
        <v>10</v>
      </c>
    </row>
    <row r="10" spans="1:2">
      <c r="A10" t="s">
        <v>4609</v>
      </c>
      <c r="B10">
        <v>10</v>
      </c>
    </row>
    <row r="11" spans="1:2">
      <c r="A11" t="s">
        <v>4610</v>
      </c>
      <c r="B11">
        <v>5</v>
      </c>
    </row>
    <row r="12" spans="1:2">
      <c r="A12" t="s">
        <v>4611</v>
      </c>
      <c r="B12">
        <v>5</v>
      </c>
    </row>
    <row r="13" spans="1:2">
      <c r="A13" t="s">
        <v>4612</v>
      </c>
      <c r="B13">
        <v>50</v>
      </c>
    </row>
    <row r="14" spans="1:2">
      <c r="A14" t="s">
        <v>4613</v>
      </c>
      <c r="B14">
        <v>50</v>
      </c>
    </row>
    <row r="15" spans="1:2">
      <c r="A15" t="s">
        <v>4614</v>
      </c>
      <c r="B15">
        <v>50</v>
      </c>
    </row>
    <row r="16" spans="1:2">
      <c r="A16" t="s">
        <v>4615</v>
      </c>
      <c r="B16">
        <v>50</v>
      </c>
    </row>
    <row r="17" spans="1:2">
      <c r="A17" t="s">
        <v>4616</v>
      </c>
      <c r="B17">
        <v>50</v>
      </c>
    </row>
    <row r="18" spans="1:2">
      <c r="A18" t="s">
        <v>4617</v>
      </c>
      <c r="B18">
        <v>50</v>
      </c>
    </row>
    <row r="19" spans="1:2">
      <c r="A19" t="s">
        <v>4618</v>
      </c>
      <c r="B19">
        <v>50</v>
      </c>
    </row>
    <row r="20" spans="1:2">
      <c r="A20" t="s">
        <v>4619</v>
      </c>
      <c r="B20">
        <v>50</v>
      </c>
    </row>
    <row r="21" spans="1:2">
      <c r="A21" t="s">
        <v>4620</v>
      </c>
      <c r="B21">
        <v>50</v>
      </c>
    </row>
    <row r="22" spans="1:2">
      <c r="A22" t="s">
        <v>4621</v>
      </c>
      <c r="B22">
        <v>200</v>
      </c>
    </row>
    <row r="23" spans="1:2">
      <c r="A23" t="s">
        <v>4622</v>
      </c>
      <c r="B23">
        <v>20</v>
      </c>
    </row>
    <row r="24" spans="1:2">
      <c r="A24" t="s">
        <v>4623</v>
      </c>
      <c r="B24">
        <v>20</v>
      </c>
    </row>
    <row r="25" spans="1:2">
      <c r="A25" t="s">
        <v>4624</v>
      </c>
      <c r="B25">
        <v>200</v>
      </c>
    </row>
    <row r="26" spans="1:2">
      <c r="A26" t="s">
        <v>4625</v>
      </c>
      <c r="B26">
        <v>20</v>
      </c>
    </row>
    <row r="27" spans="1:2">
      <c r="A27" t="s">
        <v>4626</v>
      </c>
      <c r="B27">
        <v>20</v>
      </c>
    </row>
    <row r="28" spans="1:2">
      <c r="A28" t="s">
        <v>4627</v>
      </c>
      <c r="B28">
        <v>20</v>
      </c>
    </row>
    <row r="29" spans="1:2">
      <c r="A29" t="s">
        <v>4628</v>
      </c>
      <c r="B29">
        <v>200</v>
      </c>
    </row>
    <row r="30" spans="1:2">
      <c r="A30" t="s">
        <v>2187</v>
      </c>
      <c r="B30">
        <v>10</v>
      </c>
    </row>
    <row r="31" spans="1:2">
      <c r="A31" t="s">
        <v>2188</v>
      </c>
      <c r="B31">
        <v>10</v>
      </c>
    </row>
    <row r="32" spans="1:2">
      <c r="A32" t="s">
        <v>4629</v>
      </c>
      <c r="B32">
        <v>10</v>
      </c>
    </row>
    <row r="33" spans="1:2">
      <c r="A33" t="s">
        <v>3334</v>
      </c>
      <c r="B33">
        <v>10</v>
      </c>
    </row>
    <row r="34" spans="1:2">
      <c r="A34" t="s">
        <v>4630</v>
      </c>
      <c r="B34">
        <v>100</v>
      </c>
    </row>
    <row r="35" spans="1:2">
      <c r="A35" t="s">
        <v>4631</v>
      </c>
      <c r="B35">
        <v>10</v>
      </c>
    </row>
    <row r="36" spans="1:2">
      <c r="A36" t="s">
        <v>4632</v>
      </c>
      <c r="B36">
        <v>10</v>
      </c>
    </row>
    <row r="37" spans="1:2">
      <c r="A37" t="s">
        <v>4633</v>
      </c>
      <c r="B37">
        <v>30</v>
      </c>
    </row>
    <row r="38" spans="1:2">
      <c r="A38" t="s">
        <v>4634</v>
      </c>
      <c r="B38">
        <v>30</v>
      </c>
    </row>
    <row r="39" spans="1:2">
      <c r="A39" t="s">
        <v>4635</v>
      </c>
      <c r="B39">
        <v>30</v>
      </c>
    </row>
    <row r="40" spans="1:2">
      <c r="A40" t="s">
        <v>4636</v>
      </c>
      <c r="B40">
        <v>30</v>
      </c>
    </row>
    <row r="41" spans="1:2">
      <c r="A41" t="s">
        <v>4637</v>
      </c>
      <c r="B41">
        <v>30</v>
      </c>
    </row>
    <row r="42" spans="1:2">
      <c r="A42" t="s">
        <v>4638</v>
      </c>
      <c r="B42">
        <v>30</v>
      </c>
    </row>
    <row r="43" spans="1:2">
      <c r="A43" t="s">
        <v>4639</v>
      </c>
      <c r="B43">
        <v>30</v>
      </c>
    </row>
    <row r="44" spans="1:2">
      <c r="A44" t="s">
        <v>4640</v>
      </c>
      <c r="B44">
        <v>30</v>
      </c>
    </row>
    <row r="45" spans="1:2">
      <c r="A45" t="s">
        <v>4641</v>
      </c>
      <c r="B45">
        <v>30</v>
      </c>
    </row>
    <row r="46" spans="1:2">
      <c r="A46" t="s">
        <v>4642</v>
      </c>
      <c r="B46">
        <v>30</v>
      </c>
    </row>
    <row r="47" spans="1:2">
      <c r="A47" t="s">
        <v>4643</v>
      </c>
      <c r="B47">
        <v>30</v>
      </c>
    </row>
    <row r="48" spans="1:2">
      <c r="A48" t="s">
        <v>4644</v>
      </c>
      <c r="B48">
        <v>30</v>
      </c>
    </row>
    <row r="49" spans="1:2">
      <c r="A49" t="s">
        <v>4645</v>
      </c>
      <c r="B49">
        <v>30</v>
      </c>
    </row>
    <row r="50" spans="1:2">
      <c r="A50" t="s">
        <v>4646</v>
      </c>
      <c r="B50">
        <v>30</v>
      </c>
    </row>
    <row r="51" spans="1:2">
      <c r="A51" t="s">
        <v>4647</v>
      </c>
      <c r="B51">
        <v>30</v>
      </c>
    </row>
    <row r="52" spans="1:2">
      <c r="A52" t="s">
        <v>4648</v>
      </c>
      <c r="B52">
        <v>30</v>
      </c>
    </row>
    <row r="53" spans="1:2">
      <c r="A53" t="s">
        <v>4649</v>
      </c>
      <c r="B53">
        <v>30</v>
      </c>
    </row>
    <row r="54" spans="1:2">
      <c r="A54" t="s">
        <v>4650</v>
      </c>
      <c r="B54">
        <v>30</v>
      </c>
    </row>
    <row r="55" spans="1:2">
      <c r="A55" t="s">
        <v>4651</v>
      </c>
      <c r="B55">
        <v>30</v>
      </c>
    </row>
    <row r="56" spans="1:2">
      <c r="A56" t="s">
        <v>4652</v>
      </c>
      <c r="B56">
        <v>30</v>
      </c>
    </row>
    <row r="57" spans="1:2">
      <c r="A57" t="s">
        <v>4653</v>
      </c>
      <c r="B57">
        <v>100</v>
      </c>
    </row>
    <row r="58" spans="1:2">
      <c r="A58" t="s">
        <v>4654</v>
      </c>
      <c r="B58">
        <v>100</v>
      </c>
    </row>
    <row r="59" spans="1:2">
      <c r="A59" t="s">
        <v>4655</v>
      </c>
      <c r="B59">
        <v>100</v>
      </c>
    </row>
    <row r="60" spans="1:2">
      <c r="A60" t="s">
        <v>4656</v>
      </c>
      <c r="B60">
        <v>100</v>
      </c>
    </row>
    <row r="61" spans="1:2">
      <c r="A61" t="s">
        <v>4657</v>
      </c>
      <c r="B61">
        <v>100</v>
      </c>
    </row>
    <row r="62" spans="1:2">
      <c r="A62" t="s">
        <v>4658</v>
      </c>
      <c r="B62">
        <v>30</v>
      </c>
    </row>
    <row r="63" spans="1:2">
      <c r="A63" t="s">
        <v>4659</v>
      </c>
      <c r="B63">
        <v>30</v>
      </c>
    </row>
    <row r="64" spans="1:2">
      <c r="A64" t="s">
        <v>4660</v>
      </c>
      <c r="B64">
        <v>30</v>
      </c>
    </row>
    <row r="65" spans="1:2">
      <c r="A65" t="s">
        <v>4661</v>
      </c>
      <c r="B65">
        <v>30</v>
      </c>
    </row>
    <row r="66" spans="1:2">
      <c r="A66" t="s">
        <v>4662</v>
      </c>
      <c r="B66">
        <v>30</v>
      </c>
    </row>
    <row r="67" spans="1:2">
      <c r="A67" t="s">
        <v>4663</v>
      </c>
      <c r="B67">
        <v>30</v>
      </c>
    </row>
    <row r="68" spans="1:2">
      <c r="A68" t="s">
        <v>4664</v>
      </c>
      <c r="B68">
        <v>30</v>
      </c>
    </row>
    <row r="69" spans="1:2">
      <c r="A69" t="s">
        <v>4665</v>
      </c>
      <c r="B69">
        <v>30</v>
      </c>
    </row>
    <row r="70" spans="1:2">
      <c r="A70" t="s">
        <v>4666</v>
      </c>
      <c r="B70">
        <v>30</v>
      </c>
    </row>
    <row r="71" spans="1:2">
      <c r="A71" t="s">
        <v>4667</v>
      </c>
      <c r="B71">
        <v>30</v>
      </c>
    </row>
    <row r="72" spans="1:2">
      <c r="A72" t="s">
        <v>4668</v>
      </c>
      <c r="B72">
        <v>30</v>
      </c>
    </row>
    <row r="73" spans="1:2">
      <c r="A73" t="s">
        <v>4669</v>
      </c>
      <c r="B73">
        <v>30</v>
      </c>
    </row>
    <row r="74" spans="1:2">
      <c r="A74" t="s">
        <v>4670</v>
      </c>
      <c r="B74">
        <v>200</v>
      </c>
    </row>
    <row r="75" spans="1:2">
      <c r="A75" t="s">
        <v>4671</v>
      </c>
      <c r="B75">
        <v>200</v>
      </c>
    </row>
    <row r="76" spans="1:2">
      <c r="A76" t="s">
        <v>4672</v>
      </c>
      <c r="B76">
        <v>100</v>
      </c>
    </row>
    <row r="77" spans="1:2">
      <c r="A77" t="s">
        <v>4673</v>
      </c>
      <c r="B77">
        <v>100</v>
      </c>
    </row>
    <row r="78" spans="1:2">
      <c r="A78" t="s">
        <v>4674</v>
      </c>
      <c r="B78">
        <v>30</v>
      </c>
    </row>
    <row r="79" spans="1:2">
      <c r="A79" t="s">
        <v>4675</v>
      </c>
      <c r="B79">
        <v>30</v>
      </c>
    </row>
    <row r="80" spans="1:2">
      <c r="A80" t="s">
        <v>4676</v>
      </c>
      <c r="B80">
        <v>200</v>
      </c>
    </row>
    <row r="81" spans="1:2">
      <c r="A81" t="s">
        <v>4677</v>
      </c>
      <c r="B81">
        <v>10</v>
      </c>
    </row>
    <row r="82" spans="1:2">
      <c r="A82" t="s">
        <v>4678</v>
      </c>
      <c r="B82">
        <v>30</v>
      </c>
    </row>
    <row r="83" spans="1:2">
      <c r="A83" t="s">
        <v>4679</v>
      </c>
      <c r="B83">
        <v>30</v>
      </c>
    </row>
    <row r="84" spans="1:2">
      <c r="A84" t="s">
        <v>4680</v>
      </c>
      <c r="B84">
        <v>30</v>
      </c>
    </row>
    <row r="85" spans="1:2">
      <c r="A85" t="s">
        <v>4681</v>
      </c>
      <c r="B85">
        <v>30</v>
      </c>
    </row>
    <row r="86" spans="1:2">
      <c r="A86" t="s">
        <v>4682</v>
      </c>
      <c r="B86">
        <v>30</v>
      </c>
    </row>
    <row r="87" spans="1:2">
      <c r="A87" t="s">
        <v>4683</v>
      </c>
      <c r="B87">
        <v>30</v>
      </c>
    </row>
    <row r="88" spans="1:2">
      <c r="A88" t="s">
        <v>4684</v>
      </c>
      <c r="B88">
        <v>200</v>
      </c>
    </row>
    <row r="89" spans="1:2">
      <c r="A89" t="s">
        <v>4685</v>
      </c>
      <c r="B89">
        <v>200</v>
      </c>
    </row>
    <row r="90" spans="1:2">
      <c r="A90" t="s">
        <v>480</v>
      </c>
      <c r="B90">
        <v>100</v>
      </c>
    </row>
    <row r="91" spans="1:2">
      <c r="A91" t="s">
        <v>4686</v>
      </c>
      <c r="B91">
        <v>30</v>
      </c>
    </row>
    <row r="92" spans="1:2">
      <c r="A92" t="s">
        <v>4687</v>
      </c>
      <c r="B92">
        <v>30</v>
      </c>
    </row>
    <row r="93" spans="1:2">
      <c r="A93" t="s">
        <v>4688</v>
      </c>
      <c r="B93">
        <v>30</v>
      </c>
    </row>
    <row r="94" spans="1:2">
      <c r="A94" t="s">
        <v>4689</v>
      </c>
      <c r="B94">
        <v>30</v>
      </c>
    </row>
    <row r="95" spans="1:2">
      <c r="A95" t="s">
        <v>4690</v>
      </c>
      <c r="B95">
        <v>30</v>
      </c>
    </row>
    <row r="96" spans="1:2">
      <c r="A96" t="s">
        <v>4691</v>
      </c>
      <c r="B96">
        <v>30</v>
      </c>
    </row>
    <row r="97" spans="1:2">
      <c r="A97" t="s">
        <v>4692</v>
      </c>
      <c r="B97">
        <v>30</v>
      </c>
    </row>
    <row r="98" spans="1:2">
      <c r="A98" t="s">
        <v>4693</v>
      </c>
      <c r="B98">
        <v>30</v>
      </c>
    </row>
    <row r="99" spans="1:2">
      <c r="A99" t="s">
        <v>4694</v>
      </c>
      <c r="B99">
        <v>30</v>
      </c>
    </row>
    <row r="100" spans="1:2">
      <c r="A100" t="s">
        <v>4695</v>
      </c>
      <c r="B100">
        <v>30</v>
      </c>
    </row>
    <row r="101" spans="1:2">
      <c r="A101" t="s">
        <v>4696</v>
      </c>
      <c r="B101">
        <v>30</v>
      </c>
    </row>
    <row r="102" spans="1:2">
      <c r="A102" t="s">
        <v>4697</v>
      </c>
      <c r="B102">
        <v>30</v>
      </c>
    </row>
    <row r="103" spans="1:2">
      <c r="A103" t="s">
        <v>4698</v>
      </c>
      <c r="B103">
        <v>30</v>
      </c>
    </row>
    <row r="104" spans="1:2">
      <c r="A104" t="s">
        <v>4699</v>
      </c>
      <c r="B104">
        <v>30</v>
      </c>
    </row>
    <row r="105" spans="1:2">
      <c r="A105" t="s">
        <v>4700</v>
      </c>
      <c r="B105">
        <v>30</v>
      </c>
    </row>
    <row r="106" spans="1:2">
      <c r="A106" t="s">
        <v>4701</v>
      </c>
      <c r="B106">
        <v>30</v>
      </c>
    </row>
    <row r="107" spans="1:2">
      <c r="A107" t="s">
        <v>4702</v>
      </c>
      <c r="B107">
        <v>30</v>
      </c>
    </row>
    <row r="108" spans="1:2">
      <c r="A108" t="s">
        <v>4703</v>
      </c>
      <c r="B108">
        <v>30</v>
      </c>
    </row>
    <row r="109" spans="1:2">
      <c r="A109" t="s">
        <v>4704</v>
      </c>
      <c r="B109">
        <v>30</v>
      </c>
    </row>
    <row r="110" spans="1:2">
      <c r="A110" t="s">
        <v>4705</v>
      </c>
      <c r="B110">
        <v>30</v>
      </c>
    </row>
    <row r="111" spans="1:2">
      <c r="A111" t="s">
        <v>4706</v>
      </c>
      <c r="B111">
        <v>30</v>
      </c>
    </row>
    <row r="112" spans="1:2">
      <c r="A112" t="s">
        <v>4707</v>
      </c>
      <c r="B112">
        <v>30</v>
      </c>
    </row>
    <row r="113" spans="1:2">
      <c r="A113" t="s">
        <v>4708</v>
      </c>
      <c r="B113">
        <v>30</v>
      </c>
    </row>
    <row r="114" spans="1:2">
      <c r="A114" t="s">
        <v>4709</v>
      </c>
      <c r="B114">
        <v>30</v>
      </c>
    </row>
    <row r="115" spans="1:2">
      <c r="A115" t="s">
        <v>4710</v>
      </c>
      <c r="B115">
        <v>30</v>
      </c>
    </row>
    <row r="116" spans="1:2">
      <c r="A116" t="s">
        <v>4711</v>
      </c>
      <c r="B116">
        <v>30</v>
      </c>
    </row>
    <row r="117" spans="1:2">
      <c r="A117" t="s">
        <v>4712</v>
      </c>
      <c r="B117">
        <v>30</v>
      </c>
    </row>
    <row r="118" spans="1:2">
      <c r="A118" t="s">
        <v>4713</v>
      </c>
      <c r="B118">
        <v>30</v>
      </c>
    </row>
    <row r="119" spans="1:2">
      <c r="A119" t="s">
        <v>4714</v>
      </c>
      <c r="B119">
        <v>30</v>
      </c>
    </row>
    <row r="120" spans="1:2">
      <c r="A120" t="s">
        <v>4715</v>
      </c>
      <c r="B120">
        <v>30</v>
      </c>
    </row>
    <row r="121" spans="1:2">
      <c r="A121" t="s">
        <v>4716</v>
      </c>
      <c r="B121">
        <v>30</v>
      </c>
    </row>
    <row r="122" spans="1:2">
      <c r="A122" t="s">
        <v>4717</v>
      </c>
      <c r="B122">
        <v>30</v>
      </c>
    </row>
    <row r="123" spans="1:2">
      <c r="A123" t="s">
        <v>4718</v>
      </c>
      <c r="B123">
        <v>30</v>
      </c>
    </row>
    <row r="124" spans="1:2">
      <c r="A124" t="s">
        <v>4719</v>
      </c>
      <c r="B124">
        <v>20</v>
      </c>
    </row>
    <row r="125" spans="1:2">
      <c r="A125" t="s">
        <v>4720</v>
      </c>
      <c r="B125">
        <v>30</v>
      </c>
    </row>
    <row r="126" spans="1:2">
      <c r="A126" t="s">
        <v>4721</v>
      </c>
      <c r="B126">
        <v>30</v>
      </c>
    </row>
    <row r="127" spans="1:2">
      <c r="A127" t="s">
        <v>4722</v>
      </c>
      <c r="B127">
        <v>30</v>
      </c>
    </row>
    <row r="128" spans="1:2">
      <c r="A128" t="s">
        <v>4723</v>
      </c>
      <c r="B128">
        <v>30</v>
      </c>
    </row>
    <row r="129" spans="1:2">
      <c r="A129" t="s">
        <v>4724</v>
      </c>
      <c r="B129">
        <v>30</v>
      </c>
    </row>
    <row r="130" spans="1:2">
      <c r="A130" t="s">
        <v>4725</v>
      </c>
      <c r="B130">
        <v>30</v>
      </c>
    </row>
    <row r="131" spans="1:2">
      <c r="A131" t="s">
        <v>4726</v>
      </c>
      <c r="B131">
        <v>30</v>
      </c>
    </row>
    <row r="132" spans="1:2">
      <c r="A132" t="s">
        <v>4727</v>
      </c>
      <c r="B132">
        <v>30</v>
      </c>
    </row>
    <row r="133" spans="1:2">
      <c r="A133" t="s">
        <v>496</v>
      </c>
      <c r="B133">
        <v>30</v>
      </c>
    </row>
    <row r="134" spans="1:2">
      <c r="A134" t="s">
        <v>1013</v>
      </c>
      <c r="B134">
        <v>30</v>
      </c>
    </row>
    <row r="135" spans="1:2">
      <c r="A135" t="s">
        <v>1015</v>
      </c>
      <c r="B135">
        <v>30</v>
      </c>
    </row>
    <row r="136" spans="1:2">
      <c r="A136" t="s">
        <v>752</v>
      </c>
      <c r="B136">
        <v>30</v>
      </c>
    </row>
    <row r="137" spans="1:2">
      <c r="A137" t="s">
        <v>82</v>
      </c>
      <c r="B137">
        <v>30</v>
      </c>
    </row>
    <row r="138" spans="1:2">
      <c r="A138" t="s">
        <v>1045</v>
      </c>
      <c r="B138">
        <v>30</v>
      </c>
    </row>
    <row r="139" spans="1:2">
      <c r="A139" t="s">
        <v>1047</v>
      </c>
      <c r="B139">
        <v>30</v>
      </c>
    </row>
    <row r="140" spans="1:2">
      <c r="A140" t="s">
        <v>1049</v>
      </c>
      <c r="B140">
        <v>30</v>
      </c>
    </row>
    <row r="141" spans="1:2">
      <c r="A141" t="s">
        <v>4728</v>
      </c>
      <c r="B141">
        <v>30</v>
      </c>
    </row>
    <row r="142" spans="1:2">
      <c r="A142" t="s">
        <v>4729</v>
      </c>
      <c r="B142">
        <v>30</v>
      </c>
    </row>
    <row r="143" spans="1:2">
      <c r="A143" t="s">
        <v>4730</v>
      </c>
      <c r="B143">
        <v>30</v>
      </c>
    </row>
    <row r="144" spans="1:2">
      <c r="A144" t="s">
        <v>4731</v>
      </c>
      <c r="B144">
        <v>30</v>
      </c>
    </row>
    <row r="145" spans="1:2">
      <c r="A145" t="s">
        <v>4732</v>
      </c>
      <c r="B145">
        <v>30</v>
      </c>
    </row>
    <row r="146" spans="1:2">
      <c r="A146" t="s">
        <v>4733</v>
      </c>
      <c r="B146">
        <v>30</v>
      </c>
    </row>
    <row r="147" spans="1:2">
      <c r="A147" t="s">
        <v>4734</v>
      </c>
      <c r="B147">
        <v>30</v>
      </c>
    </row>
    <row r="148" spans="1:2">
      <c r="A148" t="s">
        <v>84</v>
      </c>
      <c r="B148">
        <v>30</v>
      </c>
    </row>
    <row r="149" spans="1:2">
      <c r="A149" t="s">
        <v>1084</v>
      </c>
      <c r="B149">
        <v>30</v>
      </c>
    </row>
    <row r="150" spans="1:2">
      <c r="A150" t="s">
        <v>759</v>
      </c>
      <c r="B150">
        <v>30</v>
      </c>
    </row>
    <row r="151" spans="1:2">
      <c r="A151" t="s">
        <v>1093</v>
      </c>
      <c r="B151">
        <v>30</v>
      </c>
    </row>
    <row r="152" spans="1:2">
      <c r="A152" t="s">
        <v>775</v>
      </c>
      <c r="B152">
        <v>100</v>
      </c>
    </row>
    <row r="153" spans="1:2">
      <c r="A153" t="s">
        <v>776</v>
      </c>
      <c r="B153">
        <v>100</v>
      </c>
    </row>
    <row r="154" spans="1:2">
      <c r="A154" t="s">
        <v>777</v>
      </c>
      <c r="B154">
        <v>100</v>
      </c>
    </row>
    <row r="155" spans="1:2">
      <c r="A155" t="s">
        <v>1141</v>
      </c>
      <c r="B155">
        <v>50</v>
      </c>
    </row>
    <row r="156" spans="1:2">
      <c r="A156" t="s">
        <v>778</v>
      </c>
      <c r="B156">
        <v>50</v>
      </c>
    </row>
    <row r="157" spans="1:2">
      <c r="A157" t="s">
        <v>770</v>
      </c>
      <c r="B157">
        <v>50</v>
      </c>
    </row>
    <row r="158" spans="1:2">
      <c r="A158" t="s">
        <v>771</v>
      </c>
      <c r="B158">
        <v>50</v>
      </c>
    </row>
    <row r="159" spans="1:2">
      <c r="A159" t="s">
        <v>1151</v>
      </c>
      <c r="B159">
        <v>50</v>
      </c>
    </row>
    <row r="160" spans="1:2">
      <c r="A160" t="s">
        <v>3301</v>
      </c>
      <c r="B160">
        <v>50</v>
      </c>
    </row>
    <row r="161" spans="1:2">
      <c r="A161" t="s">
        <v>1157</v>
      </c>
      <c r="B161">
        <v>50</v>
      </c>
    </row>
    <row r="162" spans="1:2">
      <c r="A162" t="s">
        <v>779</v>
      </c>
      <c r="B162">
        <v>50</v>
      </c>
    </row>
    <row r="163" spans="1:2">
      <c r="A163" t="s">
        <v>4735</v>
      </c>
      <c r="B163">
        <v>50</v>
      </c>
    </row>
    <row r="164" spans="1:2">
      <c r="A164" t="s">
        <v>772</v>
      </c>
      <c r="B164">
        <v>50</v>
      </c>
    </row>
    <row r="165" spans="1:2">
      <c r="A165" t="s">
        <v>781</v>
      </c>
      <c r="B165">
        <v>50</v>
      </c>
    </row>
    <row r="166" spans="1:2">
      <c r="A166" t="s">
        <v>698</v>
      </c>
      <c r="B166">
        <v>50</v>
      </c>
    </row>
    <row r="167" spans="1:2">
      <c r="A167" t="s">
        <v>4381</v>
      </c>
      <c r="B167">
        <v>50</v>
      </c>
    </row>
    <row r="168" spans="1:2">
      <c r="A168" t="s">
        <v>4481</v>
      </c>
      <c r="B168">
        <v>50</v>
      </c>
    </row>
    <row r="169" spans="1:2">
      <c r="A169" t="s">
        <v>4736</v>
      </c>
      <c r="B169">
        <v>50</v>
      </c>
    </row>
    <row r="170" spans="1:2">
      <c r="A170" t="s">
        <v>4546</v>
      </c>
      <c r="B170">
        <v>50</v>
      </c>
    </row>
    <row r="171" spans="1:2">
      <c r="A171" t="s">
        <v>4556</v>
      </c>
      <c r="B171">
        <v>50</v>
      </c>
    </row>
    <row r="172" spans="1:2">
      <c r="A172" t="s">
        <v>4572</v>
      </c>
      <c r="B172">
        <v>50</v>
      </c>
    </row>
    <row r="173" spans="1:2">
      <c r="A173" t="s">
        <v>4737</v>
      </c>
      <c r="B173">
        <v>50</v>
      </c>
    </row>
    <row r="174" spans="1:2">
      <c r="A174" t="s">
        <v>4738</v>
      </c>
      <c r="B174">
        <v>50</v>
      </c>
    </row>
    <row r="175" spans="1:2">
      <c r="A175" t="s">
        <v>4739</v>
      </c>
      <c r="B175">
        <v>50</v>
      </c>
    </row>
    <row r="176" spans="1:2">
      <c r="A176" t="s">
        <v>4740</v>
      </c>
      <c r="B176">
        <v>50</v>
      </c>
    </row>
    <row r="177" spans="1:2">
      <c r="A177" t="s">
        <v>4741</v>
      </c>
      <c r="B177">
        <v>50</v>
      </c>
    </row>
    <row r="178" spans="1:2">
      <c r="A178" t="s">
        <v>4742</v>
      </c>
      <c r="B178">
        <v>50</v>
      </c>
    </row>
    <row r="179" spans="1:2">
      <c r="A179" t="s">
        <v>4743</v>
      </c>
      <c r="B179">
        <v>50</v>
      </c>
    </row>
    <row r="180" spans="1:2">
      <c r="A180" t="s">
        <v>4744</v>
      </c>
      <c r="B180">
        <v>50</v>
      </c>
    </row>
    <row r="181" spans="1:2">
      <c r="A181" t="s">
        <v>4745</v>
      </c>
      <c r="B181">
        <v>50</v>
      </c>
    </row>
    <row r="182" spans="1:2">
      <c r="A182" t="s">
        <v>4746</v>
      </c>
      <c r="B182">
        <v>50</v>
      </c>
    </row>
    <row r="183" spans="1:2">
      <c r="A183" t="s">
        <v>4746</v>
      </c>
      <c r="B183">
        <v>50</v>
      </c>
    </row>
    <row r="184" spans="1:2">
      <c r="A184" t="s">
        <v>4747</v>
      </c>
      <c r="B184">
        <v>50</v>
      </c>
    </row>
    <row r="185" spans="1:2">
      <c r="A185" t="s">
        <v>4748</v>
      </c>
      <c r="B185">
        <v>50</v>
      </c>
    </row>
    <row r="186" spans="1:2">
      <c r="A186" t="s">
        <v>4749</v>
      </c>
      <c r="B186">
        <v>50</v>
      </c>
    </row>
    <row r="187" spans="1:2">
      <c r="A187" t="s">
        <v>4750</v>
      </c>
      <c r="B187">
        <v>50</v>
      </c>
    </row>
    <row r="188" spans="1:2">
      <c r="A188" t="s">
        <v>4751</v>
      </c>
      <c r="B188">
        <v>50</v>
      </c>
    </row>
    <row r="189" spans="1:2">
      <c r="A189" t="s">
        <v>4752</v>
      </c>
      <c r="B189">
        <v>50</v>
      </c>
    </row>
    <row r="190" spans="1:2">
      <c r="A190" t="s">
        <v>4753</v>
      </c>
      <c r="B190">
        <v>50</v>
      </c>
    </row>
    <row r="191" spans="1:2">
      <c r="A191" t="s">
        <v>4754</v>
      </c>
      <c r="B191">
        <v>50</v>
      </c>
    </row>
    <row r="192" spans="1:2">
      <c r="A192" t="s">
        <v>4755</v>
      </c>
      <c r="B192">
        <v>50</v>
      </c>
    </row>
    <row r="193" spans="1:2">
      <c r="A193" t="s">
        <v>4756</v>
      </c>
      <c r="B193">
        <v>50</v>
      </c>
    </row>
    <row r="194" spans="1:2">
      <c r="A194" t="s">
        <v>4757</v>
      </c>
      <c r="B194">
        <v>50</v>
      </c>
    </row>
    <row r="195" spans="1:2">
      <c r="A195" t="s">
        <v>4758</v>
      </c>
      <c r="B195">
        <v>50</v>
      </c>
    </row>
    <row r="196" spans="1:2">
      <c r="A196" t="s">
        <v>4759</v>
      </c>
      <c r="B196">
        <v>50</v>
      </c>
    </row>
    <row r="197" spans="1:2">
      <c r="A197" t="s">
        <v>4760</v>
      </c>
      <c r="B197">
        <v>50</v>
      </c>
    </row>
  </sheetData>
  <phoneticPr fontId="1" type="noConversion"/>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sheetPr codeName="Sheet41">
    <tabColor rgb="FFFFC000"/>
  </sheetPr>
  <dimension ref="A1:B7"/>
  <sheetViews>
    <sheetView workbookViewId="0">
      <selection activeCell="G19" sqref="G19"/>
    </sheetView>
  </sheetViews>
  <sheetFormatPr defaultRowHeight="13.8"/>
  <cols>
    <col min="1" max="1" width="57.77734375" style="18" bestFit="1" customWidth="1"/>
    <col min="2" max="16384" width="8.88671875" style="18"/>
  </cols>
  <sheetData>
    <row r="1" spans="1:2">
      <c r="A1" s="62" t="s">
        <v>95</v>
      </c>
      <c r="B1" s="18" t="s">
        <v>2478</v>
      </c>
    </row>
    <row r="2" spans="1:2">
      <c r="A2" s="18" t="s">
        <v>99</v>
      </c>
    </row>
    <row r="3" spans="1:2">
      <c r="A3" s="18" t="s">
        <v>96</v>
      </c>
    </row>
    <row r="4" spans="1:2">
      <c r="A4" s="18" t="s">
        <v>100</v>
      </c>
    </row>
    <row r="5" spans="1:2">
      <c r="A5" s="18" t="s">
        <v>97</v>
      </c>
    </row>
    <row r="6" spans="1:2">
      <c r="A6" s="18" t="s">
        <v>98</v>
      </c>
    </row>
    <row r="7" spans="1:2">
      <c r="A7" s="18" t="s">
        <v>101</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codeName="Sheet42">
    <tabColor rgb="FFFFC000"/>
  </sheetPr>
  <dimension ref="A1:C4"/>
  <sheetViews>
    <sheetView workbookViewId="0">
      <selection activeCell="G27" sqref="G27"/>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79" t="s">
        <v>102</v>
      </c>
      <c r="B1" s="79" t="s">
        <v>2843</v>
      </c>
      <c r="C1" s="79" t="s">
        <v>2844</v>
      </c>
    </row>
    <row r="2" spans="1:3" ht="43.2">
      <c r="A2" s="380" t="s">
        <v>103</v>
      </c>
      <c r="B2" s="380" t="s">
        <v>2847</v>
      </c>
      <c r="C2" s="618" t="s">
        <v>4577</v>
      </c>
    </row>
    <row r="3" spans="1:3" ht="14.4">
      <c r="A3" s="380" t="s">
        <v>105</v>
      </c>
      <c r="B3" s="380" t="s">
        <v>2846</v>
      </c>
      <c r="C3" s="618">
        <v>7</v>
      </c>
    </row>
    <row r="4" spans="1:3" ht="14.4">
      <c r="A4" s="380" t="s">
        <v>106</v>
      </c>
      <c r="B4" s="380" t="s">
        <v>2845</v>
      </c>
      <c r="C4" s="618">
        <v>5</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codeName="Sheet43">
    <tabColor rgb="FFFFC000"/>
  </sheetPr>
  <dimension ref="A1:K17"/>
  <sheetViews>
    <sheetView workbookViewId="0">
      <selection activeCell="I29" sqref="I29"/>
    </sheetView>
  </sheetViews>
  <sheetFormatPr defaultRowHeight="13.8"/>
  <cols>
    <col min="1" max="1" width="9.5546875" style="18" bestFit="1" customWidth="1"/>
    <col min="2" max="2" width="5.5546875" style="18" bestFit="1" customWidth="1"/>
    <col min="3" max="3" width="9.5546875" style="18" bestFit="1" customWidth="1"/>
    <col min="4" max="4" width="7.5546875" style="18" bestFit="1" customWidth="1"/>
    <col min="5" max="5" width="11.6640625" style="18" bestFit="1" customWidth="1"/>
    <col min="6" max="7" width="9.5546875" style="18" bestFit="1" customWidth="1"/>
    <col min="8" max="8" width="15.88671875" style="18" bestFit="1" customWidth="1"/>
    <col min="9" max="9" width="20.21875" style="18" bestFit="1" customWidth="1"/>
    <col min="10" max="10" width="9.33203125" style="18" bestFit="1" customWidth="1"/>
    <col min="11" max="11" width="9.5546875" style="18" bestFit="1" customWidth="1"/>
    <col min="12" max="16384" width="8.88671875" style="18"/>
  </cols>
  <sheetData>
    <row r="1" spans="1:11" ht="14.4">
      <c r="A1" s="20" t="s">
        <v>110</v>
      </c>
      <c r="B1" s="20" t="s">
        <v>111</v>
      </c>
      <c r="C1" s="20" t="s">
        <v>112</v>
      </c>
      <c r="D1" s="20" t="s">
        <v>113</v>
      </c>
      <c r="E1" s="20" t="s">
        <v>114</v>
      </c>
      <c r="F1" s="20" t="s">
        <v>115</v>
      </c>
      <c r="G1" s="20" t="s">
        <v>119</v>
      </c>
      <c r="H1" s="20" t="s">
        <v>116</v>
      </c>
      <c r="I1" s="20" t="s">
        <v>117</v>
      </c>
      <c r="J1" s="20" t="s">
        <v>118</v>
      </c>
      <c r="K1" s="20" t="s">
        <v>120</v>
      </c>
    </row>
    <row r="2" spans="1:11">
      <c r="A2" s="381"/>
      <c r="B2" s="381"/>
      <c r="C2" s="381"/>
      <c r="D2" s="381"/>
      <c r="E2" s="381"/>
      <c r="F2" s="381"/>
      <c r="G2" s="309"/>
      <c r="H2" s="309"/>
      <c r="I2" s="309"/>
      <c r="J2" s="309"/>
      <c r="K2" s="381"/>
    </row>
    <row r="3" spans="1:11">
      <c r="A3" s="381"/>
      <c r="B3" s="381"/>
      <c r="C3" s="381"/>
      <c r="D3" s="381"/>
      <c r="E3" s="381"/>
      <c r="F3" s="381"/>
      <c r="G3" s="383"/>
      <c r="H3" s="309"/>
      <c r="I3" s="309"/>
      <c r="J3" s="383"/>
      <c r="K3" s="381"/>
    </row>
    <row r="4" spans="1:11">
      <c r="A4" s="381"/>
      <c r="B4" s="381"/>
      <c r="C4" s="381"/>
      <c r="D4" s="381"/>
      <c r="E4" s="381"/>
      <c r="F4" s="381"/>
      <c r="G4" s="383"/>
      <c r="H4" s="309"/>
      <c r="I4" s="309"/>
      <c r="J4" s="383"/>
      <c r="K4" s="381"/>
    </row>
    <row r="5" spans="1:11">
      <c r="A5" s="381"/>
      <c r="B5" s="381"/>
      <c r="C5" s="381"/>
      <c r="D5" s="381"/>
      <c r="E5" s="381"/>
      <c r="F5" s="381"/>
      <c r="G5" s="383"/>
      <c r="H5" s="309"/>
      <c r="I5" s="309"/>
      <c r="J5" s="383"/>
      <c r="K5" s="381"/>
    </row>
    <row r="6" spans="1:11">
      <c r="A6" s="381"/>
      <c r="B6" s="381"/>
      <c r="C6" s="381"/>
      <c r="D6" s="381"/>
      <c r="E6" s="381"/>
      <c r="F6" s="381"/>
      <c r="G6" s="383"/>
      <c r="H6" s="309"/>
      <c r="I6" s="309"/>
      <c r="J6" s="383"/>
      <c r="K6" s="381"/>
    </row>
    <row r="7" spans="1:11">
      <c r="A7" s="381"/>
      <c r="B7" s="381"/>
      <c r="C7" s="381"/>
      <c r="D7" s="381"/>
      <c r="E7" s="381"/>
      <c r="F7" s="381"/>
      <c r="G7" s="383"/>
      <c r="H7" s="309"/>
      <c r="I7" s="309"/>
      <c r="J7" s="383"/>
      <c r="K7" s="381"/>
    </row>
    <row r="8" spans="1:11">
      <c r="A8" s="381"/>
      <c r="B8" s="381"/>
      <c r="C8" s="381"/>
      <c r="D8" s="381"/>
      <c r="E8" s="381"/>
      <c r="F8" s="381"/>
      <c r="G8" s="383"/>
      <c r="H8" s="309"/>
      <c r="I8" s="309"/>
      <c r="J8" s="383"/>
      <c r="K8" s="381"/>
    </row>
    <row r="9" spans="1:11">
      <c r="A9" s="381"/>
      <c r="B9" s="381"/>
      <c r="C9" s="381"/>
      <c r="D9" s="381"/>
      <c r="E9" s="381"/>
      <c r="F9" s="381"/>
      <c r="G9" s="383"/>
      <c r="H9" s="309"/>
      <c r="I9" s="309"/>
      <c r="J9" s="309"/>
      <c r="K9" s="381"/>
    </row>
    <row r="10" spans="1:11">
      <c r="A10" s="23"/>
      <c r="B10" s="23"/>
      <c r="C10" s="23"/>
      <c r="D10" s="23"/>
      <c r="E10" s="23"/>
      <c r="F10" s="23"/>
      <c r="G10" s="78"/>
      <c r="H10" s="25"/>
      <c r="I10" s="25"/>
      <c r="J10" s="78"/>
      <c r="K10" s="23"/>
    </row>
    <row r="11" spans="1:11">
      <c r="A11" s="23"/>
      <c r="B11" s="23"/>
      <c r="C11" s="23"/>
      <c r="D11" s="23"/>
      <c r="E11" s="23"/>
      <c r="F11" s="23"/>
      <c r="G11" s="78"/>
      <c r="H11" s="25"/>
      <c r="I11" s="25"/>
      <c r="J11" s="78"/>
      <c r="K11" s="23"/>
    </row>
    <row r="12" spans="1:11">
      <c r="A12" s="23"/>
      <c r="B12" s="23"/>
      <c r="C12" s="23"/>
      <c r="D12" s="23"/>
      <c r="E12" s="23"/>
      <c r="F12" s="23"/>
      <c r="G12" s="78"/>
      <c r="H12" s="25"/>
      <c r="I12" s="25"/>
      <c r="J12" s="78"/>
      <c r="K12" s="23"/>
    </row>
    <row r="13" spans="1:11">
      <c r="A13" s="23"/>
      <c r="B13" s="23"/>
      <c r="C13" s="23"/>
      <c r="D13" s="23"/>
      <c r="E13" s="23"/>
      <c r="F13" s="23"/>
      <c r="G13" s="78"/>
      <c r="H13" s="25"/>
      <c r="I13" s="25"/>
      <c r="J13" s="78"/>
      <c r="K13" s="23"/>
    </row>
    <row r="14" spans="1:11">
      <c r="A14" s="23"/>
      <c r="B14" s="23"/>
      <c r="C14" s="23"/>
      <c r="D14" s="23"/>
      <c r="E14" s="23"/>
      <c r="F14" s="23"/>
      <c r="G14" s="78"/>
      <c r="H14" s="25"/>
      <c r="I14" s="25"/>
      <c r="J14" s="78"/>
      <c r="K14" s="23"/>
    </row>
    <row r="15" spans="1:11">
      <c r="A15" s="23"/>
      <c r="B15" s="23"/>
      <c r="C15" s="23"/>
      <c r="D15" s="23"/>
      <c r="E15" s="23"/>
      <c r="F15" s="23"/>
      <c r="G15" s="78"/>
      <c r="H15" s="25"/>
      <c r="I15" s="25"/>
      <c r="J15" s="78"/>
      <c r="K15" s="23"/>
    </row>
    <row r="16" spans="1:11">
      <c r="A16" s="23"/>
      <c r="B16" s="23"/>
      <c r="C16" s="23"/>
      <c r="D16" s="23"/>
      <c r="E16" s="23"/>
      <c r="F16" s="23"/>
      <c r="G16" s="78"/>
      <c r="H16" s="25"/>
      <c r="I16" s="25"/>
      <c r="J16" s="78"/>
      <c r="K16" s="23"/>
    </row>
    <row r="17" spans="1:11">
      <c r="A17" s="23"/>
      <c r="B17" s="23"/>
      <c r="C17" s="23"/>
      <c r="D17" s="23"/>
      <c r="E17" s="23"/>
      <c r="F17" s="23"/>
      <c r="G17" s="78"/>
      <c r="H17" s="25"/>
      <c r="I17" s="25"/>
      <c r="J17" s="78"/>
      <c r="K17" s="23"/>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codeName="Sheet44">
    <tabColor rgb="FFFFC000"/>
  </sheetPr>
  <dimension ref="A1:G8"/>
  <sheetViews>
    <sheetView workbookViewId="0">
      <selection activeCell="E28" sqref="E28"/>
    </sheetView>
  </sheetViews>
  <sheetFormatPr defaultRowHeight="13.8"/>
  <cols>
    <col min="1" max="1" width="9.5546875" style="18" bestFit="1" customWidth="1"/>
    <col min="2" max="2" width="15.88671875" style="18" bestFit="1" customWidth="1"/>
    <col min="3" max="3" width="20.21875" style="18" bestFit="1" customWidth="1"/>
    <col min="4" max="4" width="9.5546875" style="18" bestFit="1" customWidth="1"/>
    <col min="5" max="5" width="7.5546875" style="18" bestFit="1" customWidth="1"/>
    <col min="6" max="6" width="5.5546875" style="18" bestFit="1" customWidth="1"/>
    <col min="7" max="7" width="19.88671875" style="18" customWidth="1"/>
    <col min="8" max="16384" width="8.88671875" style="18"/>
  </cols>
  <sheetData>
    <row r="1" spans="1:7" ht="14.4">
      <c r="A1" s="32" t="s">
        <v>110</v>
      </c>
      <c r="B1" s="32" t="s">
        <v>116</v>
      </c>
      <c r="C1" s="32" t="s">
        <v>117</v>
      </c>
      <c r="D1" s="20" t="s">
        <v>122</v>
      </c>
      <c r="E1" s="32" t="s">
        <v>118</v>
      </c>
      <c r="F1" s="32" t="s">
        <v>111</v>
      </c>
      <c r="G1" s="32" t="s">
        <v>121</v>
      </c>
    </row>
    <row r="2" spans="1:7" ht="14.4">
      <c r="A2" s="306"/>
      <c r="B2" s="306"/>
      <c r="C2" s="306"/>
      <c r="D2" s="269"/>
      <c r="E2" s="306"/>
      <c r="F2" s="306"/>
      <c r="G2" s="306"/>
    </row>
    <row r="3" spans="1:7" ht="14.4">
      <c r="A3" s="265"/>
      <c r="B3" s="280"/>
      <c r="C3" s="275"/>
      <c r="D3" s="280"/>
      <c r="E3" s="280"/>
      <c r="F3" s="280"/>
      <c r="G3" s="328"/>
    </row>
    <row r="4" spans="1:7" ht="14.4">
      <c r="A4" s="265"/>
      <c r="B4" s="280"/>
      <c r="C4" s="275"/>
      <c r="D4" s="280"/>
      <c r="E4" s="280"/>
      <c r="F4" s="280"/>
      <c r="G4" s="328"/>
    </row>
    <row r="5" spans="1:7">
      <c r="A5" s="283"/>
      <c r="B5" s="275"/>
      <c r="C5" s="275"/>
      <c r="D5" s="275"/>
      <c r="E5" s="275"/>
      <c r="F5" s="275"/>
      <c r="G5" s="307"/>
    </row>
    <row r="6" spans="1:7">
      <c r="A6" s="246"/>
      <c r="B6" s="246"/>
      <c r="C6" s="246"/>
      <c r="D6" s="246"/>
      <c r="E6" s="246"/>
      <c r="F6" s="246"/>
      <c r="G6" s="246"/>
    </row>
    <row r="7" spans="1:7">
      <c r="A7" s="246"/>
      <c r="B7" s="246"/>
      <c r="C7" s="246"/>
      <c r="D7" s="246"/>
      <c r="E7" s="246"/>
      <c r="F7" s="246"/>
      <c r="G7" s="246"/>
    </row>
    <row r="8" spans="1:7">
      <c r="A8" s="246"/>
      <c r="B8" s="246"/>
      <c r="C8" s="246"/>
      <c r="D8" s="246"/>
      <c r="E8" s="246"/>
      <c r="F8" s="246"/>
      <c r="G8" s="246"/>
    </row>
  </sheetData>
  <phoneticPr fontId="1" type="noConversion"/>
  <pageMargins left="0.7" right="0.7" top="0.75" bottom="0.75" header="0.3" footer="0.3"/>
  <pageSetup paperSize="9" orientation="portrait"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codeName="Sheet45">
    <tabColor rgb="FFFFC000"/>
  </sheetPr>
  <dimension ref="A1:G9"/>
  <sheetViews>
    <sheetView workbookViewId="0">
      <selection activeCell="H25" sqref="H25"/>
    </sheetView>
  </sheetViews>
  <sheetFormatPr defaultRowHeight="13.8"/>
  <cols>
    <col min="1" max="1" width="7.5546875" style="18" bestFit="1" customWidth="1"/>
    <col min="2" max="2" width="9.33203125" style="18" bestFit="1" customWidth="1"/>
    <col min="3" max="3" width="11.44140625" style="18" bestFit="1" customWidth="1"/>
    <col min="4" max="5" width="7.5546875" style="18" bestFit="1" customWidth="1"/>
    <col min="6" max="6" width="5.5546875" style="18" bestFit="1" customWidth="1"/>
    <col min="7" max="7" width="11.6640625" style="18" bestFit="1" customWidth="1"/>
    <col min="8" max="16384" width="8.88671875" style="18"/>
  </cols>
  <sheetData>
    <row r="1" spans="1:7" ht="28.8" customHeight="1">
      <c r="A1" s="32" t="s">
        <v>110</v>
      </c>
      <c r="B1" s="32" t="s">
        <v>116</v>
      </c>
      <c r="C1" s="32" t="s">
        <v>117</v>
      </c>
      <c r="D1" s="20" t="s">
        <v>124</v>
      </c>
      <c r="E1" s="32" t="s">
        <v>118</v>
      </c>
      <c r="F1" s="32" t="s">
        <v>111</v>
      </c>
      <c r="G1" s="32" t="s">
        <v>123</v>
      </c>
    </row>
    <row r="2" spans="1:7" ht="14.4">
      <c r="A2" s="306"/>
      <c r="B2" s="306"/>
      <c r="C2" s="306"/>
      <c r="D2" s="269"/>
      <c r="E2" s="306"/>
      <c r="F2" s="306"/>
      <c r="G2" s="306"/>
    </row>
    <row r="3" spans="1:7" ht="14.4">
      <c r="A3" s="265"/>
      <c r="B3" s="280"/>
      <c r="C3" s="275"/>
      <c r="D3" s="280"/>
      <c r="E3" s="280"/>
      <c r="F3" s="280"/>
      <c r="G3" s="328"/>
    </row>
    <row r="4" spans="1:7" ht="14.4">
      <c r="A4" s="265"/>
      <c r="B4" s="280"/>
      <c r="C4" s="275"/>
      <c r="D4" s="280"/>
      <c r="E4" s="280"/>
      <c r="F4" s="280"/>
      <c r="G4" s="328"/>
    </row>
    <row r="5" spans="1:7">
      <c r="A5" s="283"/>
      <c r="B5" s="275"/>
      <c r="C5" s="275"/>
      <c r="D5" s="275"/>
      <c r="E5" s="275"/>
      <c r="F5" s="275"/>
      <c r="G5" s="307"/>
    </row>
    <row r="6" spans="1:7">
      <c r="A6" s="246"/>
      <c r="B6" s="246"/>
      <c r="C6" s="246"/>
      <c r="D6" s="246"/>
      <c r="E6" s="246"/>
      <c r="F6" s="246"/>
      <c r="G6" s="246"/>
    </row>
    <row r="7" spans="1:7">
      <c r="A7" s="246"/>
      <c r="B7" s="246"/>
      <c r="C7" s="246"/>
      <c r="D7" s="246"/>
      <c r="E7" s="246"/>
      <c r="F7" s="246"/>
      <c r="G7" s="246"/>
    </row>
    <row r="8" spans="1:7">
      <c r="A8" s="246"/>
      <c r="B8" s="246"/>
      <c r="C8" s="246"/>
      <c r="D8" s="246"/>
      <c r="E8" s="246"/>
      <c r="F8" s="246"/>
      <c r="G8" s="246"/>
    </row>
    <row r="9" spans="1:7">
      <c r="A9" s="246"/>
      <c r="B9" s="246"/>
      <c r="C9" s="246"/>
      <c r="D9" s="246"/>
      <c r="E9" s="246"/>
      <c r="F9" s="246"/>
      <c r="G9" s="246"/>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codeName="Sheet46">
    <tabColor rgb="FFFFC000"/>
  </sheetPr>
  <dimension ref="A1:F8"/>
  <sheetViews>
    <sheetView workbookViewId="0">
      <selection activeCell="G23" sqref="G23"/>
    </sheetView>
  </sheetViews>
  <sheetFormatPr defaultRowHeight="13.8"/>
  <cols>
    <col min="1" max="1" width="13.8867187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146</v>
      </c>
      <c r="B1" s="18" t="s">
        <v>113</v>
      </c>
      <c r="C1" s="18" t="s">
        <v>115</v>
      </c>
      <c r="D1" s="18" t="s">
        <v>147</v>
      </c>
      <c r="E1" s="18" t="s">
        <v>148</v>
      </c>
      <c r="F1" s="18" t="s">
        <v>149</v>
      </c>
    </row>
    <row r="2" spans="1:6">
      <c r="A2" s="246"/>
      <c r="B2" s="246"/>
      <c r="C2" s="246"/>
      <c r="D2" s="246"/>
      <c r="E2" s="246"/>
      <c r="F2" s="246"/>
    </row>
    <row r="3" spans="1:6">
      <c r="A3" s="246"/>
      <c r="B3" s="246"/>
      <c r="C3" s="246"/>
      <c r="D3" s="246"/>
      <c r="E3" s="246"/>
      <c r="F3" s="246"/>
    </row>
    <row r="4" spans="1:6">
      <c r="A4" s="246"/>
      <c r="B4" s="246"/>
      <c r="C4" s="246"/>
      <c r="D4" s="246"/>
      <c r="E4" s="246"/>
      <c r="F4" s="246"/>
    </row>
    <row r="5" spans="1:6">
      <c r="A5" s="246"/>
      <c r="B5" s="246"/>
      <c r="C5" s="246"/>
      <c r="D5" s="246"/>
      <c r="E5" s="246"/>
      <c r="F5" s="246"/>
    </row>
    <row r="6" spans="1:6">
      <c r="A6" s="246"/>
      <c r="B6" s="246"/>
      <c r="C6" s="246"/>
      <c r="D6" s="246"/>
      <c r="E6" s="246"/>
      <c r="F6" s="246"/>
    </row>
    <row r="7" spans="1:6">
      <c r="A7" s="246"/>
      <c r="B7" s="246"/>
      <c r="C7" s="246"/>
      <c r="D7" s="246"/>
      <c r="E7" s="246"/>
      <c r="F7" s="246"/>
    </row>
    <row r="8" spans="1:6">
      <c r="A8" s="246"/>
      <c r="B8" s="246"/>
      <c r="C8" s="246"/>
      <c r="D8" s="246"/>
      <c r="E8" s="246"/>
      <c r="F8" s="246"/>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codeName="Sheet47">
    <tabColor rgb="FFFFC000"/>
  </sheetPr>
  <dimension ref="A1:H8"/>
  <sheetViews>
    <sheetView workbookViewId="0">
      <selection activeCell="J28" sqref="J28"/>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146</v>
      </c>
      <c r="B1" s="40" t="s">
        <v>150</v>
      </c>
      <c r="C1" s="40" t="s">
        <v>151</v>
      </c>
      <c r="D1" s="40" t="s">
        <v>152</v>
      </c>
      <c r="E1" s="20" t="s">
        <v>153</v>
      </c>
      <c r="F1" s="40" t="s">
        <v>154</v>
      </c>
      <c r="G1" s="40" t="s">
        <v>155</v>
      </c>
      <c r="H1" s="20" t="s">
        <v>156</v>
      </c>
    </row>
    <row r="2" spans="1:8">
      <c r="A2" s="416"/>
      <c r="B2" s="417"/>
      <c r="C2" s="418"/>
      <c r="D2" s="418"/>
      <c r="E2" s="418"/>
      <c r="F2" s="418"/>
      <c r="G2" s="418"/>
      <c r="H2" s="418"/>
    </row>
    <row r="3" spans="1:8" ht="14.4">
      <c r="A3" s="306"/>
      <c r="B3" s="291"/>
      <c r="C3" s="291"/>
      <c r="D3" s="291"/>
      <c r="E3" s="269"/>
      <c r="F3" s="291"/>
      <c r="G3" s="291"/>
      <c r="H3" s="269"/>
    </row>
    <row r="4" spans="1:8">
      <c r="A4" s="246"/>
      <c r="B4" s="246"/>
      <c r="C4" s="246"/>
      <c r="D4" s="246"/>
      <c r="E4" s="246"/>
      <c r="F4" s="246"/>
      <c r="G4" s="246"/>
      <c r="H4" s="246"/>
    </row>
    <row r="5" spans="1:8">
      <c r="A5" s="246"/>
      <c r="B5" s="246"/>
      <c r="C5" s="246"/>
      <c r="D5" s="246"/>
      <c r="E5" s="246"/>
      <c r="F5" s="246"/>
      <c r="G5" s="246"/>
      <c r="H5" s="246"/>
    </row>
    <row r="6" spans="1:8">
      <c r="A6" s="246"/>
      <c r="B6" s="246"/>
      <c r="C6" s="246"/>
      <c r="D6" s="246"/>
      <c r="E6" s="246"/>
      <c r="F6" s="246"/>
      <c r="G6" s="246"/>
      <c r="H6" s="246"/>
    </row>
    <row r="7" spans="1:8">
      <c r="A7" s="246"/>
      <c r="B7" s="246"/>
      <c r="C7" s="246"/>
      <c r="D7" s="246"/>
      <c r="E7" s="246"/>
      <c r="F7" s="246"/>
      <c r="G7" s="246"/>
      <c r="H7" s="246"/>
    </row>
    <row r="8" spans="1:8">
      <c r="A8" s="246"/>
      <c r="B8" s="246"/>
      <c r="C8" s="246"/>
      <c r="D8" s="246"/>
      <c r="E8" s="246"/>
      <c r="F8" s="246"/>
      <c r="G8" s="246"/>
      <c r="H8" s="246"/>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codeName="Sheet48">
    <tabColor rgb="FFFFC000"/>
  </sheetPr>
  <dimension ref="A1:E8"/>
  <sheetViews>
    <sheetView workbookViewId="0">
      <selection activeCell="H27" sqref="H27"/>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146</v>
      </c>
      <c r="B1" s="18" t="s">
        <v>150</v>
      </c>
      <c r="C1" s="18" t="s">
        <v>157</v>
      </c>
      <c r="D1" s="18" t="s">
        <v>158</v>
      </c>
      <c r="E1" s="18" t="s">
        <v>159</v>
      </c>
    </row>
    <row r="2" spans="1:5">
      <c r="A2" s="381"/>
      <c r="B2" s="415"/>
      <c r="C2" s="335"/>
      <c r="D2" s="335"/>
      <c r="E2" s="335"/>
    </row>
    <row r="3" spans="1:5">
      <c r="A3" s="246"/>
      <c r="B3" s="246"/>
      <c r="C3" s="246"/>
      <c r="D3" s="246"/>
      <c r="E3" s="246"/>
    </row>
    <row r="4" spans="1:5">
      <c r="A4" s="246"/>
      <c r="B4" s="246"/>
      <c r="C4" s="246"/>
      <c r="D4" s="246"/>
      <c r="E4" s="246"/>
    </row>
    <row r="5" spans="1:5">
      <c r="A5" s="246"/>
      <c r="B5" s="246"/>
      <c r="C5" s="246"/>
      <c r="D5" s="246"/>
      <c r="E5" s="246"/>
    </row>
    <row r="6" spans="1:5">
      <c r="A6" s="246"/>
      <c r="B6" s="246"/>
      <c r="C6" s="246"/>
      <c r="D6" s="246"/>
      <c r="E6" s="246"/>
    </row>
    <row r="7" spans="1:5">
      <c r="A7" s="246"/>
      <c r="B7" s="246"/>
      <c r="C7" s="246"/>
      <c r="D7" s="246"/>
      <c r="E7" s="246"/>
    </row>
    <row r="8" spans="1:5">
      <c r="A8" s="246"/>
      <c r="B8" s="246"/>
      <c r="C8" s="246"/>
      <c r="D8" s="246"/>
      <c r="E8" s="246"/>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sheetPr codeName="Sheet4"/>
  <dimension ref="A1:L260"/>
  <sheetViews>
    <sheetView tabSelected="1" view="pageBreakPreview" zoomScale="85" zoomScaleNormal="100" zoomScaleSheetLayoutView="85" workbookViewId="0">
      <selection activeCell="O20" sqref="O20"/>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 customWidth="1"/>
    <col min="10" max="10" width="14.6640625" style="1" customWidth="1"/>
    <col min="11" max="12" width="8.88671875" style="1"/>
    <col min="13" max="16384" width="8.88671875" style="18"/>
  </cols>
  <sheetData>
    <row r="1" spans="1:12">
      <c r="A1" s="62" t="s">
        <v>794</v>
      </c>
      <c r="B1" s="108" t="s">
        <v>795</v>
      </c>
      <c r="C1" s="62" t="s">
        <v>796</v>
      </c>
      <c r="D1" s="62" t="s">
        <v>797</v>
      </c>
      <c r="E1" s="62" t="s">
        <v>798</v>
      </c>
      <c r="F1" s="62" t="s">
        <v>799</v>
      </c>
      <c r="G1" s="62" t="s">
        <v>793</v>
      </c>
      <c r="H1" s="62" t="s">
        <v>800</v>
      </c>
    </row>
    <row r="2" spans="1:12">
      <c r="A2" s="109" t="s">
        <v>801</v>
      </c>
      <c r="B2" s="109"/>
      <c r="C2" s="110"/>
      <c r="D2" s="110"/>
      <c r="E2" s="110"/>
      <c r="I2" s="1" t="s">
        <v>802</v>
      </c>
      <c r="J2" s="1" t="s">
        <v>803</v>
      </c>
      <c r="K2" s="1" t="s">
        <v>804</v>
      </c>
      <c r="L2" s="1" t="s">
        <v>805</v>
      </c>
    </row>
    <row r="3" spans="1:12">
      <c r="A3" s="111" t="s">
        <v>806</v>
      </c>
      <c r="B3" s="111"/>
      <c r="C3" s="110"/>
      <c r="D3" s="110"/>
      <c r="E3" s="110">
        <f>SUM(E4:E6)</f>
        <v>0</v>
      </c>
      <c r="F3" s="110">
        <f t="shared" ref="F3:G3" si="0">SUM(C4:C6)</f>
        <v>0</v>
      </c>
      <c r="G3" s="110">
        <f t="shared" si="0"/>
        <v>0</v>
      </c>
      <c r="H3" s="110">
        <f>SUM(H4:H6)</f>
        <v>0</v>
      </c>
    </row>
    <row r="4" spans="1:12">
      <c r="A4" s="111" t="s">
        <v>807</v>
      </c>
      <c r="B4" s="112" t="s">
        <v>808</v>
      </c>
      <c r="C4" s="110"/>
      <c r="D4" s="110"/>
      <c r="E4" s="113">
        <f>IF(K4=L4,_xlfn.IFNA(VLOOKUP(I4,科目余额表!B:M,12,0),0),-_xlfn.IFNA(VLOOKUP(I4,科目余额表!B:M,12,0),0))</f>
        <v>0</v>
      </c>
      <c r="F4" s="1">
        <f>ROUND(SUMIF(本期ETY!D:D,B4,本期ETY!F:F),2)</f>
        <v>0</v>
      </c>
      <c r="G4" s="1">
        <f>ROUND(SUMIF(本期ETY!D:D,B4,本期ETY!G:G),2)</f>
        <v>0</v>
      </c>
      <c r="H4" s="114">
        <f>ROUND(E4+F4-G4,2)</f>
        <v>0</v>
      </c>
      <c r="I4" s="1" t="s">
        <v>809</v>
      </c>
      <c r="K4" s="1" t="s">
        <v>810</v>
      </c>
      <c r="L4" s="1" t="str">
        <f>_xlfn.IFNA(VLOOKUP(I4,科目余额表!B:M,11,0),K4)</f>
        <v>借</v>
      </c>
    </row>
    <row r="5" spans="1:12">
      <c r="A5" s="111" t="s">
        <v>811</v>
      </c>
      <c r="B5" s="112" t="s">
        <v>812</v>
      </c>
      <c r="C5" s="110"/>
      <c r="D5" s="110"/>
      <c r="E5" s="113">
        <f>IF(K5=L5,_xlfn.IFNA(VLOOKUP(I5,科目余额表!B:M,12,0),0),-_xlfn.IFNA(VLOOKUP(I5,科目余额表!B:M,12,0),0))</f>
        <v>0</v>
      </c>
      <c r="F5" s="1">
        <f>ROUND(SUMIF(本期ETY!D:D,B5,本期ETY!F:F),2)</f>
        <v>0</v>
      </c>
      <c r="G5" s="1">
        <f>ROUND(SUMIF(本期ETY!D:D,B5,本期ETY!G:G),2)</f>
        <v>0</v>
      </c>
      <c r="H5" s="114">
        <f>ROUND(E5+F5-G5,2)</f>
        <v>0</v>
      </c>
      <c r="I5" s="1" t="s">
        <v>813</v>
      </c>
      <c r="K5" s="1" t="s">
        <v>810</v>
      </c>
      <c r="L5" s="1" t="str">
        <f>_xlfn.IFNA(VLOOKUP(I5,科目余额表!B:M,11,0),K5)</f>
        <v>借</v>
      </c>
    </row>
    <row r="6" spans="1:12">
      <c r="A6" s="111" t="s">
        <v>814</v>
      </c>
      <c r="B6" s="112" t="s">
        <v>193</v>
      </c>
      <c r="C6" s="110"/>
      <c r="D6" s="110"/>
      <c r="E6" s="113">
        <f>IF(K6=L6,_xlfn.IFNA(VLOOKUP(I6,科目余额表!B:M,12,0),0),-_xlfn.IFNA(VLOOKUP(I6,科目余额表!B:M,12,0),0))</f>
        <v>0</v>
      </c>
      <c r="F6" s="1">
        <f>ROUND(SUMIF(本期ETY!D:D,B6,本期ETY!F:F),2)</f>
        <v>0</v>
      </c>
      <c r="G6" s="1">
        <f>ROUND(SUMIF(本期ETY!D:D,B6,本期ETY!G:G),2)</f>
        <v>0</v>
      </c>
      <c r="H6" s="114">
        <f t="shared" ref="H6:H56" si="1">ROUND(E6+F6-G6,2)</f>
        <v>0</v>
      </c>
      <c r="I6" s="1" t="s">
        <v>815</v>
      </c>
      <c r="K6" s="1" t="s">
        <v>810</v>
      </c>
      <c r="L6" s="1" t="str">
        <f>_xlfn.IFNA(VLOOKUP(I6,科目余额表!B:M,11,0),K6)</f>
        <v>借</v>
      </c>
    </row>
    <row r="7" spans="1:12">
      <c r="A7" s="111" t="s">
        <v>816</v>
      </c>
      <c r="B7" s="112" t="s">
        <v>817</v>
      </c>
      <c r="C7" s="110"/>
      <c r="D7" s="110"/>
      <c r="E7" s="113">
        <f>IF(K7=L7,_xlfn.IFNA(VLOOKUP(I7,科目余额表!B:M,12,0),0),-_xlfn.IFNA(VLOOKUP(I7,科目余额表!B:M,12,0),0))</f>
        <v>0</v>
      </c>
      <c r="F7" s="1">
        <f>ROUND(SUMIF(本期ETY!D:D,B7,本期ETY!F:F),2)</f>
        <v>0</v>
      </c>
      <c r="G7" s="1">
        <f>ROUND(SUMIF(本期ETY!D:D,B7,本期ETY!G:G),2)</f>
        <v>0</v>
      </c>
      <c r="H7" s="114">
        <f t="shared" si="1"/>
        <v>0</v>
      </c>
      <c r="I7" s="1" t="s">
        <v>818</v>
      </c>
      <c r="K7" s="1" t="s">
        <v>810</v>
      </c>
      <c r="L7" s="1" t="str">
        <f>_xlfn.IFNA(VLOOKUP(I7,科目余额表!B:M,11,0),K7)</f>
        <v>借</v>
      </c>
    </row>
    <row r="8" spans="1:12">
      <c r="A8" s="111" t="s">
        <v>819</v>
      </c>
      <c r="B8" s="112" t="s">
        <v>820</v>
      </c>
      <c r="C8" s="110"/>
      <c r="D8" s="110"/>
      <c r="E8" s="113">
        <f>IF(K8=L8,_xlfn.IFNA(VLOOKUP(I8,科目余额表!B:M,12,0),0),-_xlfn.IFNA(VLOOKUP(I8,科目余额表!B:M,12,0),0))</f>
        <v>0</v>
      </c>
      <c r="F8" s="1">
        <f>ROUND(SUMIF(本期ETY!D:D,B8,本期ETY!F:F),2)</f>
        <v>0</v>
      </c>
      <c r="G8" s="1">
        <f>ROUND(SUMIF(本期ETY!D:D,B8,本期ETY!G:G),2)</f>
        <v>0</v>
      </c>
      <c r="H8" s="114">
        <f t="shared" si="1"/>
        <v>0</v>
      </c>
      <c r="I8" s="1" t="s">
        <v>821</v>
      </c>
      <c r="K8" s="1" t="s">
        <v>810</v>
      </c>
      <c r="L8" s="1" t="str">
        <f>_xlfn.IFNA(VLOOKUP(I8,科目余额表!B:M,11,0),K8)</f>
        <v>借</v>
      </c>
    </row>
    <row r="9" spans="1:12">
      <c r="A9" s="115" t="s">
        <v>822</v>
      </c>
      <c r="B9" s="112" t="s">
        <v>5</v>
      </c>
      <c r="C9" s="110"/>
      <c r="D9" s="116" t="s">
        <v>823</v>
      </c>
      <c r="E9" s="113">
        <f>IF(K9=L9,_xlfn.IFNA(VLOOKUP(I9,科目余额表!B:M,12,0),0),-_xlfn.IFNA(VLOOKUP(I9,科目余额表!B:M,12,0),0))</f>
        <v>0</v>
      </c>
      <c r="F9" s="1">
        <f>ROUND(SUMIF(本期ETY!D:D,B9,本期ETY!F:F),2)</f>
        <v>0</v>
      </c>
      <c r="G9" s="1">
        <f>ROUND(SUMIF(本期ETY!D:D,B9,本期ETY!G:G),2)</f>
        <v>0</v>
      </c>
      <c r="H9" s="114">
        <f t="shared" si="1"/>
        <v>0</v>
      </c>
      <c r="I9" s="1" t="s">
        <v>5</v>
      </c>
      <c r="K9" s="1" t="s">
        <v>810</v>
      </c>
      <c r="L9" s="1" t="str">
        <f>_xlfn.IFNA(VLOOKUP(I9,科目余额表!B:M,11,0),K9)</f>
        <v>借</v>
      </c>
    </row>
    <row r="10" spans="1:12">
      <c r="A10" s="115" t="s">
        <v>824</v>
      </c>
      <c r="B10" s="112" t="s">
        <v>3</v>
      </c>
      <c r="C10" s="116" t="s">
        <v>825</v>
      </c>
      <c r="D10" s="116"/>
      <c r="E10" s="113">
        <f>IF(K10=L10,_xlfn.IFNA(VLOOKUP(I10,科目余额表!B:M,12,0),0),-_xlfn.IFNA(VLOOKUP(I10,科目余额表!B:M,12,0),0))</f>
        <v>0</v>
      </c>
      <c r="F10" s="1">
        <f>ROUND(SUMIF(本期ETY!D:D,B10,本期ETY!F:F),2)</f>
        <v>0</v>
      </c>
      <c r="G10" s="1">
        <f>ROUND(SUMIF(本期ETY!D:D,B10,本期ETY!G:G),2)</f>
        <v>0</v>
      </c>
      <c r="H10" s="114">
        <f t="shared" si="1"/>
        <v>0</v>
      </c>
      <c r="I10" s="1" t="s">
        <v>3</v>
      </c>
      <c r="K10" s="1" t="s">
        <v>810</v>
      </c>
      <c r="L10" s="1" t="str">
        <f>_xlfn.IFNA(VLOOKUP(I10,科目余额表!B:M,11,0),K10)</f>
        <v>借</v>
      </c>
    </row>
    <row r="11" spans="1:12">
      <c r="A11" s="112" t="s">
        <v>826</v>
      </c>
      <c r="B11" s="112" t="s">
        <v>420</v>
      </c>
      <c r="C11" s="110"/>
      <c r="D11" s="110"/>
      <c r="E11" s="113">
        <f>IF(K11=L11,_xlfn.IFNA(VLOOKUP(I11,科目余额表!B:M,12,0),0),-_xlfn.IFNA(VLOOKUP(I11,科目余额表!B:M,12,0),0))</f>
        <v>0</v>
      </c>
      <c r="F11" s="1">
        <f>ROUND(SUMIF(本期ETY!D:D,B11,本期ETY!F:F),2)</f>
        <v>0</v>
      </c>
      <c r="G11" s="1">
        <f>ROUND(SUMIF(本期ETY!D:D,B11,本期ETY!G:G),2)</f>
        <v>0</v>
      </c>
      <c r="H11" s="114">
        <f t="shared" si="1"/>
        <v>0</v>
      </c>
      <c r="I11" s="1" t="s">
        <v>420</v>
      </c>
      <c r="K11" s="1" t="s">
        <v>810</v>
      </c>
      <c r="L11" s="1" t="str">
        <f>_xlfn.IFNA(VLOOKUP(I11,科目余额表!B:M,11,0),K11)</f>
        <v>借</v>
      </c>
    </row>
    <row r="12" spans="1:12">
      <c r="A12" s="112" t="s">
        <v>827</v>
      </c>
      <c r="B12" s="112" t="s">
        <v>828</v>
      </c>
      <c r="C12" s="110"/>
      <c r="D12" s="110"/>
      <c r="E12" s="113">
        <f>IF(K12=L12,_xlfn.IFNA(VLOOKUP(I12,科目余额表!B:M,12,0),0),-_xlfn.IFNA(VLOOKUP(I12,科目余额表!B:M,12,0),0))</f>
        <v>0</v>
      </c>
      <c r="F12" s="1">
        <f>ROUND(SUMIF(本期ETY!D:D,B12,本期ETY!F:F),2)</f>
        <v>0</v>
      </c>
      <c r="G12" s="1">
        <f>ROUND(SUMIF(本期ETY!D:D,B12,本期ETY!G:G),2)</f>
        <v>0</v>
      </c>
      <c r="H12" s="114">
        <f t="shared" si="1"/>
        <v>0</v>
      </c>
      <c r="I12" s="1" t="s">
        <v>6</v>
      </c>
      <c r="K12" s="1" t="s">
        <v>810</v>
      </c>
      <c r="L12" s="1" t="str">
        <f>_xlfn.IFNA(VLOOKUP(I12,科目余额表!B:M,11,0),K12)</f>
        <v>借</v>
      </c>
    </row>
    <row r="13" spans="1:12">
      <c r="A13" s="112" t="s">
        <v>829</v>
      </c>
      <c r="B13" s="112" t="s">
        <v>830</v>
      </c>
      <c r="C13" s="110"/>
      <c r="D13" s="110"/>
      <c r="E13" s="113">
        <f>IF(K13=L13,_xlfn.IFNA(VLOOKUP(I13,科目余额表!B:M,12,0),0),-_xlfn.IFNA(VLOOKUP(I13,科目余额表!B:M,12,0),0))</f>
        <v>0</v>
      </c>
      <c r="F13" s="1">
        <f>ROUND(SUMIF(本期ETY!D:D,B13,本期ETY!F:F),2)</f>
        <v>0</v>
      </c>
      <c r="G13" s="1">
        <f>ROUND(SUMIF(本期ETY!D:D,B13,本期ETY!G:G),2)</f>
        <v>0</v>
      </c>
      <c r="H13" s="114">
        <f>ROUND(E13-F13+G13,2)</f>
        <v>0</v>
      </c>
      <c r="I13" s="1" t="s">
        <v>831</v>
      </c>
      <c r="K13" s="1" t="s">
        <v>832</v>
      </c>
      <c r="L13" s="1" t="str">
        <f>_xlfn.IFNA(VLOOKUP(I13,科目余额表!B:M,11,0),K13)</f>
        <v>贷</v>
      </c>
    </row>
    <row r="14" spans="1:12">
      <c r="A14" s="111" t="s">
        <v>833</v>
      </c>
      <c r="B14" s="112"/>
      <c r="C14" s="110"/>
      <c r="D14" s="110"/>
      <c r="E14" s="110">
        <f>E12-E13</f>
        <v>0</v>
      </c>
      <c r="F14" s="110">
        <f t="shared" ref="F14:H14" si="2">F12-F13</f>
        <v>0</v>
      </c>
      <c r="G14" s="110">
        <f t="shared" si="2"/>
        <v>0</v>
      </c>
      <c r="H14" s="110">
        <f t="shared" si="2"/>
        <v>0</v>
      </c>
      <c r="L14" s="1">
        <f>_xlfn.IFNA(VLOOKUP(I14,科目余额表!B:M,11,0),K14)</f>
        <v>0</v>
      </c>
    </row>
    <row r="15" spans="1:12">
      <c r="A15" s="111" t="s">
        <v>834</v>
      </c>
      <c r="B15" s="112" t="s">
        <v>835</v>
      </c>
      <c r="C15" s="110"/>
      <c r="D15" s="110"/>
      <c r="E15" s="113">
        <f>IF(K15=L15,_xlfn.IFNA(VLOOKUP(I15,科目余额表!B:M,12,0),0),-_xlfn.IFNA(VLOOKUP(I15,科目余额表!B:M,12,0),0))</f>
        <v>0</v>
      </c>
      <c r="F15" s="1">
        <f>ROUND(SUMIF(本期ETY!D:D,B15,本期ETY!F:F),2)</f>
        <v>0</v>
      </c>
      <c r="G15" s="1">
        <f>ROUND(SUMIF(本期ETY!D:D,B15,本期ETY!G:G),2)</f>
        <v>0</v>
      </c>
      <c r="H15" s="114">
        <f t="shared" si="1"/>
        <v>0</v>
      </c>
      <c r="I15" s="1" t="s">
        <v>9</v>
      </c>
      <c r="K15" s="1" t="s">
        <v>810</v>
      </c>
      <c r="L15" s="1" t="str">
        <f>_xlfn.IFNA(VLOOKUP(I15,科目余额表!B:M,11,0),K15)</f>
        <v>借</v>
      </c>
    </row>
    <row r="16" spans="1:12">
      <c r="A16" s="111" t="s">
        <v>836</v>
      </c>
      <c r="B16" s="112" t="s">
        <v>837</v>
      </c>
      <c r="C16" s="110"/>
      <c r="D16" s="110"/>
      <c r="E16" s="113">
        <f>IF(K16=L16,_xlfn.IFNA(VLOOKUP(I16,科目余额表!B:M,12,0),0),-_xlfn.IFNA(VLOOKUP(I16,科目余额表!B:M,12,0),0))</f>
        <v>0</v>
      </c>
      <c r="F16" s="1">
        <f>ROUND(SUMIF(本期ETY!D:D,B16,本期ETY!F:F),2)</f>
        <v>0</v>
      </c>
      <c r="G16" s="1">
        <f>ROUND(SUMIF(本期ETY!D:D,B16,本期ETY!G:G),2)</f>
        <v>0</v>
      </c>
      <c r="H16" s="114">
        <f>ROUND(E16-F16+G16,2)</f>
        <v>0</v>
      </c>
      <c r="I16" s="1" t="s">
        <v>838</v>
      </c>
      <c r="K16" s="1" t="s">
        <v>832</v>
      </c>
      <c r="L16" s="1" t="str">
        <f>_xlfn.IFNA(VLOOKUP(I16,科目余额表!B:M,11,0),K16)</f>
        <v>贷</v>
      </c>
    </row>
    <row r="17" spans="1:12">
      <c r="A17" s="112" t="s">
        <v>839</v>
      </c>
      <c r="B17" s="112"/>
      <c r="C17" s="110"/>
      <c r="D17" s="110"/>
      <c r="E17" s="110">
        <f>E15-E16</f>
        <v>0</v>
      </c>
      <c r="F17" s="110">
        <f t="shared" ref="F17:H17" si="3">F15-F16</f>
        <v>0</v>
      </c>
      <c r="G17" s="110"/>
      <c r="H17" s="110">
        <f t="shared" si="3"/>
        <v>0</v>
      </c>
      <c r="L17" s="1">
        <f>_xlfn.IFNA(VLOOKUP(I17,科目余额表!B:M,11,0),K17)</f>
        <v>0</v>
      </c>
    </row>
    <row r="18" spans="1:12">
      <c r="A18" s="112" t="s">
        <v>840</v>
      </c>
      <c r="B18" s="112" t="s">
        <v>7</v>
      </c>
      <c r="C18" s="110"/>
      <c r="D18" s="116" t="s">
        <v>823</v>
      </c>
      <c r="E18" s="113">
        <f>IF(K18=L18,_xlfn.IFNA(VLOOKUP(I18,科目余额表!B:M,12,0),0),-_xlfn.IFNA(VLOOKUP(I18,科目余额表!B:M,12,0),0))</f>
        <v>0</v>
      </c>
      <c r="F18" s="1">
        <f>ROUND(SUMIF(本期ETY!D:D,B18,本期ETY!F:F),2)</f>
        <v>0</v>
      </c>
      <c r="G18" s="1">
        <f>ROUND(SUMIF(本期ETY!D:D,B18,本期ETY!G:G),2)</f>
        <v>0</v>
      </c>
      <c r="H18" s="114">
        <f t="shared" si="1"/>
        <v>0</v>
      </c>
      <c r="I18" s="1" t="s">
        <v>7</v>
      </c>
      <c r="K18" s="1" t="s">
        <v>810</v>
      </c>
      <c r="L18" s="1" t="str">
        <f>_xlfn.IFNA(VLOOKUP(I18,科目余额表!B:M,11,0),K18)</f>
        <v>借</v>
      </c>
    </row>
    <row r="19" spans="1:12">
      <c r="A19" s="111" t="s">
        <v>841</v>
      </c>
      <c r="B19" s="112" t="s">
        <v>842</v>
      </c>
      <c r="C19" s="110"/>
      <c r="D19" s="110"/>
      <c r="E19" s="113">
        <f>IF(K19=L19,_xlfn.IFNA(VLOOKUP(I19,科目余额表!B:M,12,0),0),-_xlfn.IFNA(VLOOKUP(I19,科目余额表!B:M,12,0),0))</f>
        <v>0</v>
      </c>
      <c r="F19" s="1">
        <f>ROUND(SUMIF(本期ETY!D:D,B19,本期ETY!F:F),2)</f>
        <v>0</v>
      </c>
      <c r="G19" s="1">
        <f>ROUND(SUMIF(本期ETY!D:D,B19,本期ETY!G:G),2)</f>
        <v>0</v>
      </c>
      <c r="H19" s="114">
        <f t="shared" si="1"/>
        <v>0</v>
      </c>
      <c r="I19" s="1" t="s">
        <v>843</v>
      </c>
      <c r="K19" s="1" t="s">
        <v>810</v>
      </c>
      <c r="L19" s="1" t="str">
        <f>_xlfn.IFNA(VLOOKUP(I19,科目余额表!B:M,11,0),K19)</f>
        <v>借</v>
      </c>
    </row>
    <row r="20" spans="1:12">
      <c r="A20" s="111" t="s">
        <v>844</v>
      </c>
      <c r="B20" s="112" t="s">
        <v>845</v>
      </c>
      <c r="C20" s="110"/>
      <c r="D20" s="110"/>
      <c r="E20" s="113">
        <f>IF(K20=L20,_xlfn.IFNA(VLOOKUP(I20,科目余额表!B:M,12,0),0),-_xlfn.IFNA(VLOOKUP(I20,科目余额表!B:M,12,0),0))</f>
        <v>0</v>
      </c>
      <c r="F20" s="1">
        <f>ROUND(SUMIF(本期ETY!D:D,B20,本期ETY!F:F),2)</f>
        <v>0</v>
      </c>
      <c r="G20" s="1">
        <f>ROUND(SUMIF(本期ETY!D:D,B20,本期ETY!G:G),2)</f>
        <v>0</v>
      </c>
      <c r="H20" s="114">
        <f t="shared" si="1"/>
        <v>0</v>
      </c>
      <c r="I20" s="1" t="s">
        <v>845</v>
      </c>
      <c r="K20" s="1" t="s">
        <v>810</v>
      </c>
      <c r="L20" s="1" t="str">
        <f>_xlfn.IFNA(VLOOKUP(I20,科目余额表!B:M,11,0),K20)</f>
        <v>借</v>
      </c>
    </row>
    <row r="21" spans="1:12">
      <c r="A21" s="111" t="s">
        <v>846</v>
      </c>
      <c r="B21" s="112" t="s">
        <v>847</v>
      </c>
      <c r="C21" s="110"/>
      <c r="D21" s="110"/>
      <c r="E21" s="113">
        <f>IF(K21=L21,_xlfn.IFNA(VLOOKUP(I21,科目余额表!B:M,12,0),0),-_xlfn.IFNA(VLOOKUP(I21,科目余额表!B:M,12,0),0))</f>
        <v>0</v>
      </c>
      <c r="F21" s="1">
        <f>ROUND(SUMIF(本期ETY!D:D,B21,本期ETY!F:F),2)</f>
        <v>0</v>
      </c>
      <c r="G21" s="1">
        <f>ROUND(SUMIF(本期ETY!D:D,B21,本期ETY!G:G),2)</f>
        <v>0</v>
      </c>
      <c r="H21" s="114">
        <f t="shared" si="1"/>
        <v>0</v>
      </c>
      <c r="I21" s="1" t="s">
        <v>847</v>
      </c>
      <c r="K21" s="1" t="s">
        <v>810</v>
      </c>
      <c r="L21" s="1" t="str">
        <f>_xlfn.IFNA(VLOOKUP(I21,科目余额表!B:M,11,0),K21)</f>
        <v>借</v>
      </c>
    </row>
    <row r="22" spans="1:12">
      <c r="A22" s="111" t="s">
        <v>848</v>
      </c>
      <c r="B22" s="112" t="s">
        <v>849</v>
      </c>
      <c r="C22" s="110"/>
      <c r="D22" s="110"/>
      <c r="E22" s="113">
        <f>IF(K22=L22,_xlfn.IFNA(VLOOKUP(I22,科目余额表!B:M,12,0),0),-_xlfn.IFNA(VLOOKUP(I22,科目余额表!B:M,12,0),0))</f>
        <v>0</v>
      </c>
      <c r="F22" s="1">
        <f>ROUND(SUMIF(本期ETY!D:D,B22,本期ETY!F:F),2)</f>
        <v>0</v>
      </c>
      <c r="G22" s="1">
        <f>ROUND(SUMIF(本期ETY!D:D,B22,本期ETY!G:G),2)</f>
        <v>0</v>
      </c>
      <c r="H22" s="114">
        <f t="shared" si="1"/>
        <v>0</v>
      </c>
      <c r="I22" s="1" t="s">
        <v>849</v>
      </c>
      <c r="K22" s="1" t="s">
        <v>810</v>
      </c>
      <c r="L22" s="1" t="str">
        <f>_xlfn.IFNA(VLOOKUP(I22,科目余额表!B:M,11,0),K22)</f>
        <v>借</v>
      </c>
    </row>
    <row r="23" spans="1:12">
      <c r="A23" s="111" t="s">
        <v>850</v>
      </c>
      <c r="B23" s="112" t="s">
        <v>851</v>
      </c>
      <c r="C23" s="110"/>
      <c r="D23" s="110"/>
      <c r="E23" s="113">
        <f>IF(K23=L23,_xlfn.IFNA(VLOOKUP(I23,科目余额表!B:M,12,0),0),-_xlfn.IFNA(VLOOKUP(I23,科目余额表!B:M,12,0),0))</f>
        <v>0</v>
      </c>
      <c r="F23" s="1">
        <f>ROUND(SUMIF(本期ETY!D:D,B23,本期ETY!F:F),2)</f>
        <v>0</v>
      </c>
      <c r="G23" s="1">
        <f>ROUND(SUMIF(本期ETY!D:D,B23,本期ETY!G:G),2)</f>
        <v>0</v>
      </c>
      <c r="H23" s="114">
        <f t="shared" si="1"/>
        <v>0</v>
      </c>
      <c r="I23" s="1" t="s">
        <v>281</v>
      </c>
      <c r="K23" s="1" t="s">
        <v>810</v>
      </c>
      <c r="L23" s="1" t="str">
        <f>_xlfn.IFNA(VLOOKUP(I23,科目余额表!B:M,11,0),K23)</f>
        <v>借</v>
      </c>
    </row>
    <row r="24" spans="1:12">
      <c r="A24" s="111" t="s">
        <v>852</v>
      </c>
      <c r="B24" s="112" t="s">
        <v>853</v>
      </c>
      <c r="C24" s="110"/>
      <c r="D24" s="110"/>
      <c r="E24" s="113">
        <f>IF(K24=L24,_xlfn.IFNA(VLOOKUP(I24,科目余额表!B:M,12,0),0),-_xlfn.IFNA(VLOOKUP(I24,科目余额表!B:M,12,0),0))</f>
        <v>0</v>
      </c>
      <c r="F24" s="1">
        <f>ROUND(SUMIF(本期ETY!D:D,B24,本期ETY!F:F),2)</f>
        <v>0</v>
      </c>
      <c r="G24" s="1">
        <f>ROUND(SUMIF(本期ETY!D:D,B24,本期ETY!G:G),2)</f>
        <v>0</v>
      </c>
      <c r="H24" s="114">
        <f>ROUND(E24-F24+G24,2)</f>
        <v>0</v>
      </c>
      <c r="I24" s="1" t="s">
        <v>854</v>
      </c>
      <c r="K24" s="1" t="s">
        <v>832</v>
      </c>
      <c r="L24" s="1" t="str">
        <f>_xlfn.IFNA(VLOOKUP(I24,科目余额表!B:M,11,0),K24)</f>
        <v>贷</v>
      </c>
    </row>
    <row r="25" spans="1:12">
      <c r="A25" s="111" t="s">
        <v>855</v>
      </c>
      <c r="B25" s="112"/>
      <c r="C25" s="110"/>
      <c r="D25" s="110"/>
      <c r="E25" s="110">
        <f>E23-E24</f>
        <v>0</v>
      </c>
      <c r="F25" s="1">
        <f>ROUND(SUMIF(本期ETY!D:D,B25,本期ETY!F:F),2)</f>
        <v>0</v>
      </c>
      <c r="G25" s="1">
        <f>ROUND(SUMIF(本期ETY!D:D,B25,本期ETY!G:G),2)</f>
        <v>0</v>
      </c>
      <c r="H25" s="114">
        <f>H23-H24</f>
        <v>0</v>
      </c>
      <c r="L25" s="1">
        <f>_xlfn.IFNA(VLOOKUP(I25,科目余额表!B:M,11,0),K25)</f>
        <v>0</v>
      </c>
    </row>
    <row r="26" spans="1:12">
      <c r="A26" s="401" t="s">
        <v>2886</v>
      </c>
      <c r="B26" s="112" t="s">
        <v>2402</v>
      </c>
      <c r="C26" s="110"/>
      <c r="D26" s="110"/>
      <c r="E26" s="113">
        <f>IF(K26=L26,_xlfn.IFNA(VLOOKUP(I26,科目余额表!B:M,12,0),0),-_xlfn.IFNA(VLOOKUP(I26,科目余额表!B:M,12,0),0))</f>
        <v>0</v>
      </c>
      <c r="F26" s="1">
        <f>ROUND(SUMIF(上期ETY!D:D,B26,上期ETY!F:F),2)</f>
        <v>0</v>
      </c>
      <c r="G26" s="1">
        <f>ROUND(SUMIF(上期ETY!D:D,B26,上期ETY!G:G),2)</f>
        <v>0</v>
      </c>
      <c r="H26" s="114">
        <f t="shared" ref="H26" si="4">ROUND(E26+F26-G26,2)</f>
        <v>0</v>
      </c>
      <c r="I26" s="1" t="s">
        <v>282</v>
      </c>
      <c r="K26" s="1" t="s">
        <v>810</v>
      </c>
      <c r="L26" s="1" t="str">
        <f>_xlfn.IFNA(VLOOKUP(I26,科目余额表!B:M,11,0),K26)</f>
        <v>借</v>
      </c>
    </row>
    <row r="27" spans="1:12">
      <c r="A27" s="401" t="s">
        <v>2887</v>
      </c>
      <c r="B27" s="112" t="s">
        <v>2888</v>
      </c>
      <c r="C27" s="110"/>
      <c r="D27" s="110"/>
      <c r="E27" s="113">
        <f>IF(K27=L27,_xlfn.IFNA(VLOOKUP(I27,科目余额表!B:M,12,0),0),-_xlfn.IFNA(VLOOKUP(I27,科目余额表!B:M,12,0),0))</f>
        <v>0</v>
      </c>
      <c r="F27" s="1">
        <f>ROUND(SUMIF(上期ETY!D:D,B27,上期ETY!F:F),2)</f>
        <v>0</v>
      </c>
      <c r="G27" s="1">
        <f>ROUND(SUMIF(上期ETY!D:D,B27,上期ETY!G:G),2)</f>
        <v>0</v>
      </c>
      <c r="H27" s="114">
        <f>ROUND(E27-F27+G27,2)</f>
        <v>0</v>
      </c>
      <c r="I27" s="136" t="s">
        <v>2888</v>
      </c>
      <c r="K27" s="1" t="s">
        <v>832</v>
      </c>
      <c r="L27" s="1" t="str">
        <f>_xlfn.IFNA(VLOOKUP(I27,科目余额表!B:M,11,0),K27)</f>
        <v>贷</v>
      </c>
    </row>
    <row r="28" spans="1:12">
      <c r="A28" s="111" t="s">
        <v>856</v>
      </c>
      <c r="B28" s="112"/>
      <c r="C28" s="110"/>
      <c r="D28" s="110"/>
      <c r="E28" s="110">
        <f>E26-E27</f>
        <v>0</v>
      </c>
      <c r="F28" s="1">
        <f>ROUND(SUMIF(上期ETY!D:D,B28,上期ETY!F:F),2)</f>
        <v>0</v>
      </c>
      <c r="G28" s="1">
        <f>ROUND(SUMIF(上期ETY!D:D,B28,上期ETY!G:G),2)</f>
        <v>0</v>
      </c>
      <c r="H28" s="114">
        <f>H26-H27</f>
        <v>0</v>
      </c>
    </row>
    <row r="29" spans="1:12">
      <c r="A29" s="111" t="s">
        <v>857</v>
      </c>
      <c r="B29" s="112" t="s">
        <v>858</v>
      </c>
      <c r="C29" s="110"/>
      <c r="D29" s="110"/>
      <c r="E29" s="113">
        <f>IF(K29=L29,_xlfn.IFNA(VLOOKUP(I29,科目余额表!B:M,12,0),0),-_xlfn.IFNA(VLOOKUP(I29,科目余额表!B:M,12,0),0))</f>
        <v>0</v>
      </c>
      <c r="F29" s="1">
        <f>ROUND(SUMIF(本期ETY!D:D,B29,本期ETY!F:F),2)</f>
        <v>0</v>
      </c>
      <c r="G29" s="1">
        <f>ROUND(SUMIF(本期ETY!D:D,B29,本期ETY!G:G),2)</f>
        <v>0</v>
      </c>
      <c r="H29" s="114">
        <f t="shared" si="1"/>
        <v>0</v>
      </c>
      <c r="I29" s="1" t="s">
        <v>10</v>
      </c>
      <c r="K29" s="1" t="s">
        <v>810</v>
      </c>
      <c r="L29" s="1" t="str">
        <f>_xlfn.IFNA(VLOOKUP(I29,科目余额表!B:M,11,0),K29)</f>
        <v>借</v>
      </c>
    </row>
    <row r="30" spans="1:12">
      <c r="A30" s="111" t="s">
        <v>859</v>
      </c>
      <c r="B30" s="112" t="s">
        <v>860</v>
      </c>
      <c r="C30" s="110"/>
      <c r="D30" s="110"/>
      <c r="E30" s="113">
        <f>IF(K30=L30,_xlfn.IFNA(VLOOKUP(I30,科目余额表!B:M,12,0),0),-_xlfn.IFNA(VLOOKUP(I30,科目余额表!B:M,12,0),0))</f>
        <v>0</v>
      </c>
      <c r="F30" s="1">
        <f>ROUND(SUMIF(本期ETY!D:D,B30,本期ETY!F:F),2)</f>
        <v>0</v>
      </c>
      <c r="G30" s="1">
        <f>ROUND(SUMIF(本期ETY!D:D,B30,本期ETY!G:G),2)</f>
        <v>0</v>
      </c>
      <c r="H30" s="114">
        <f>ROUND(E30-F30+G30,2)</f>
        <v>0</v>
      </c>
      <c r="I30" s="1" t="s">
        <v>861</v>
      </c>
      <c r="K30" s="1" t="s">
        <v>832</v>
      </c>
      <c r="L30" s="1" t="str">
        <f>_xlfn.IFNA(VLOOKUP(I30,科目余额表!B:M,11,0),K30)</f>
        <v>贷</v>
      </c>
    </row>
    <row r="31" spans="1:12">
      <c r="A31" s="111" t="s">
        <v>862</v>
      </c>
      <c r="B31" s="112"/>
      <c r="C31" s="110"/>
      <c r="D31" s="110"/>
      <c r="E31" s="110">
        <f>E29-E30</f>
        <v>0</v>
      </c>
      <c r="F31" s="1">
        <f>ROUND(SUMIF(本期ETY!D:D,B31,本期ETY!F:F),2)</f>
        <v>0</v>
      </c>
      <c r="G31" s="1">
        <f>ROUND(SUMIF(本期ETY!D:D,B31,本期ETY!G:G),2)</f>
        <v>0</v>
      </c>
      <c r="H31" s="114">
        <f>H29-H30</f>
        <v>0</v>
      </c>
      <c r="L31" s="1">
        <f>_xlfn.IFNA(VLOOKUP(I31,科目余额表!B:M,11,0),K31)</f>
        <v>0</v>
      </c>
    </row>
    <row r="32" spans="1:12">
      <c r="A32" s="111" t="s">
        <v>863</v>
      </c>
      <c r="B32" s="112" t="s">
        <v>864</v>
      </c>
      <c r="C32" s="110"/>
      <c r="D32" s="110"/>
      <c r="E32" s="113">
        <f>IF(K32=L32,_xlfn.IFNA(VLOOKUP(I32,科目余额表!B:M,12,0),0),-_xlfn.IFNA(VLOOKUP(I32,科目余额表!B:M,12,0),0))</f>
        <v>0</v>
      </c>
      <c r="F32" s="1">
        <f>ROUND(SUMIF(本期ETY!D:D,B32,本期ETY!F:F),2)</f>
        <v>0</v>
      </c>
      <c r="G32" s="1">
        <f>ROUND(SUMIF(本期ETY!D:D,B32,本期ETY!G:G),2)</f>
        <v>0</v>
      </c>
      <c r="H32" s="114">
        <f t="shared" si="1"/>
        <v>0</v>
      </c>
      <c r="I32" s="1" t="s">
        <v>864</v>
      </c>
      <c r="K32" s="1" t="s">
        <v>810</v>
      </c>
      <c r="L32" s="1" t="str">
        <f>_xlfn.IFNA(VLOOKUP(I32,科目余额表!B:M,11,0),K32)</f>
        <v>借</v>
      </c>
    </row>
    <row r="33" spans="1:12">
      <c r="A33" s="111" t="s">
        <v>865</v>
      </c>
      <c r="B33" s="112" t="s">
        <v>866</v>
      </c>
      <c r="C33" s="110"/>
      <c r="D33" s="110"/>
      <c r="E33" s="113">
        <f>IF(K33=L33,_xlfn.IFNA(VLOOKUP(I33,科目余额表!B:M,12,0),0),-_xlfn.IFNA(VLOOKUP(I33,科目余额表!B:M,12,0),0))</f>
        <v>0</v>
      </c>
      <c r="F33" s="1">
        <f>ROUND(SUMIF(本期ETY!D:D,B33,本期ETY!F:F),2)</f>
        <v>0</v>
      </c>
      <c r="G33" s="1">
        <f>ROUND(SUMIF(本期ETY!D:D,B33,本期ETY!G:G),2)</f>
        <v>0</v>
      </c>
      <c r="H33" s="114">
        <f t="shared" si="1"/>
        <v>0</v>
      </c>
      <c r="I33" s="1" t="s">
        <v>766</v>
      </c>
      <c r="K33" s="1" t="s">
        <v>810</v>
      </c>
      <c r="L33" s="1" t="str">
        <f>_xlfn.IFNA(VLOOKUP(I33,科目余额表!B:M,11,0),K33)</f>
        <v>借</v>
      </c>
    </row>
    <row r="34" spans="1:12">
      <c r="A34" s="111" t="s">
        <v>867</v>
      </c>
      <c r="B34" s="112"/>
      <c r="C34" s="110"/>
      <c r="D34" s="110"/>
      <c r="E34" s="110">
        <f>SUM(E35:E48)</f>
        <v>0</v>
      </c>
      <c r="F34" s="110">
        <f t="shared" ref="F34:G34" si="5">SUM(F35:F47)</f>
        <v>0</v>
      </c>
      <c r="G34" s="110">
        <f t="shared" si="5"/>
        <v>0</v>
      </c>
      <c r="H34" s="110">
        <f>SUM(H35:H48)</f>
        <v>0</v>
      </c>
      <c r="L34" s="1">
        <f>_xlfn.IFNA(VLOOKUP(I34,科目余额表!B:M,11,0),K34)</f>
        <v>0</v>
      </c>
    </row>
    <row r="35" spans="1:12">
      <c r="A35" s="111" t="s">
        <v>868</v>
      </c>
      <c r="B35" s="112" t="s">
        <v>869</v>
      </c>
      <c r="C35" s="110"/>
      <c r="D35" s="110"/>
      <c r="E35" s="113">
        <f>IF(K35=L35,_xlfn.IFNA(VLOOKUP(I35,科目余额表!B:M,12,0),0),-_xlfn.IFNA(VLOOKUP(I35,科目余额表!B:M,12,0),0))</f>
        <v>0</v>
      </c>
      <c r="F35" s="1">
        <f>ROUND(SUMIF(本期ETY!D:D,B35,本期ETY!F:F),2)</f>
        <v>0</v>
      </c>
      <c r="G35" s="1">
        <f>ROUND(SUMIF(本期ETY!D:D,B35,本期ETY!G:G),2)</f>
        <v>0</v>
      </c>
      <c r="H35" s="114">
        <f t="shared" si="1"/>
        <v>0</v>
      </c>
      <c r="I35" s="1" t="s">
        <v>314</v>
      </c>
      <c r="K35" s="1" t="s">
        <v>810</v>
      </c>
      <c r="L35" s="1" t="str">
        <f>_xlfn.IFNA(VLOOKUP(I35,科目余额表!B:M,11,0),K35)</f>
        <v>借</v>
      </c>
    </row>
    <row r="36" spans="1:12">
      <c r="A36" s="111" t="s">
        <v>870</v>
      </c>
      <c r="B36" s="112" t="s">
        <v>871</v>
      </c>
      <c r="C36" s="110"/>
      <c r="D36" s="110"/>
      <c r="E36" s="113">
        <f>IF(K36=L36,_xlfn.IFNA(VLOOKUP(I36,科目余额表!B:M,12,0),0),-_xlfn.IFNA(VLOOKUP(I36,科目余额表!B:M,12,0),0))</f>
        <v>0</v>
      </c>
      <c r="F36" s="1">
        <f>ROUND(SUMIF(本期ETY!D:D,B36,本期ETY!F:F),2)</f>
        <v>0</v>
      </c>
      <c r="G36" s="1">
        <f>ROUND(SUMIF(本期ETY!D:D,B36,本期ETY!G:G),2)</f>
        <v>0</v>
      </c>
      <c r="H36" s="114">
        <f t="shared" si="1"/>
        <v>0</v>
      </c>
      <c r="I36" s="1" t="s">
        <v>872</v>
      </c>
      <c r="K36" s="1" t="s">
        <v>810</v>
      </c>
      <c r="L36" s="1" t="str">
        <f>_xlfn.IFNA(VLOOKUP(I36,科目余额表!B:M,11,0),K36)</f>
        <v>借</v>
      </c>
    </row>
    <row r="37" spans="1:12">
      <c r="A37" s="111" t="s">
        <v>873</v>
      </c>
      <c r="B37" s="112" t="s">
        <v>874</v>
      </c>
      <c r="C37" s="110"/>
      <c r="D37" s="110"/>
      <c r="E37" s="113">
        <f>IF(K37=L37,_xlfn.IFNA(VLOOKUP(I37,科目余额表!B:M,12,0),0),-_xlfn.IFNA(VLOOKUP(I37,科目余额表!B:M,12,0),0))</f>
        <v>0</v>
      </c>
      <c r="F37" s="1">
        <f>ROUND(SUMIF(本期ETY!D:D,B37,本期ETY!F:F),2)</f>
        <v>0</v>
      </c>
      <c r="G37" s="1">
        <f>ROUND(SUMIF(本期ETY!D:D,B37,本期ETY!G:G),2)</f>
        <v>0</v>
      </c>
      <c r="H37" s="114">
        <f t="shared" si="1"/>
        <v>0</v>
      </c>
      <c r="I37" s="1" t="s">
        <v>763</v>
      </c>
      <c r="K37" s="1" t="s">
        <v>810</v>
      </c>
      <c r="L37" s="1" t="str">
        <f>_xlfn.IFNA(VLOOKUP(I37,科目余额表!B:M,11,0),K37)</f>
        <v>借</v>
      </c>
    </row>
    <row r="38" spans="1:12">
      <c r="A38" s="111" t="s">
        <v>875</v>
      </c>
      <c r="B38" s="112" t="s">
        <v>876</v>
      </c>
      <c r="C38" s="110"/>
      <c r="D38" s="110"/>
      <c r="E38" s="113">
        <f>IF(K38=L38,_xlfn.IFNA(VLOOKUP(I38,科目余额表!B:M,12,0),0),-_xlfn.IFNA(VLOOKUP(I38,科目余额表!B:M,12,0),0))</f>
        <v>0</v>
      </c>
      <c r="F38" s="1">
        <f>ROUND(SUMIF(本期ETY!D:D,B38,本期ETY!F:F),2)</f>
        <v>0</v>
      </c>
      <c r="G38" s="1">
        <f>ROUND(SUMIF(本期ETY!D:D,B38,本期ETY!G:G),2)</f>
        <v>0</v>
      </c>
      <c r="H38" s="114">
        <f t="shared" si="1"/>
        <v>0</v>
      </c>
      <c r="I38" s="1" t="s">
        <v>325</v>
      </c>
      <c r="K38" s="1" t="s">
        <v>810</v>
      </c>
      <c r="L38" s="1" t="str">
        <f>_xlfn.IFNA(VLOOKUP(I38,科目余额表!B:M,11,0),K38)</f>
        <v>借</v>
      </c>
    </row>
    <row r="39" spans="1:12">
      <c r="A39" s="111" t="s">
        <v>877</v>
      </c>
      <c r="B39" s="112" t="s">
        <v>878</v>
      </c>
      <c r="C39" s="110"/>
      <c r="D39" s="110"/>
      <c r="E39" s="113">
        <f>IF(K39=L39,_xlfn.IFNA(VLOOKUP(I39,科目余额表!B:M,12,0),0),-_xlfn.IFNA(VLOOKUP(I39,科目余额表!B:M,12,0),0))</f>
        <v>0</v>
      </c>
      <c r="F39" s="1">
        <f>ROUND(SUMIF(本期ETY!D:D,B39,本期ETY!F:F),2)</f>
        <v>0</v>
      </c>
      <c r="G39" s="1">
        <f>ROUND(SUMIF(本期ETY!D:D,B39,本期ETY!G:G),2)</f>
        <v>0</v>
      </c>
      <c r="H39" s="114">
        <f t="shared" si="1"/>
        <v>0</v>
      </c>
      <c r="I39" s="1" t="s">
        <v>879</v>
      </c>
      <c r="K39" s="1" t="s">
        <v>810</v>
      </c>
      <c r="L39" s="1" t="str">
        <f>_xlfn.IFNA(VLOOKUP(I39,科目余额表!B:M,11,0),K39)</f>
        <v>借</v>
      </c>
    </row>
    <row r="40" spans="1:12">
      <c r="A40" s="111" t="s">
        <v>880</v>
      </c>
      <c r="B40" s="112" t="s">
        <v>881</v>
      </c>
      <c r="C40" s="110"/>
      <c r="D40" s="110"/>
      <c r="E40" s="113">
        <f>IF(K40=L40,_xlfn.IFNA(VLOOKUP(I40,科目余额表!B:M,12,0),0),-_xlfn.IFNA(VLOOKUP(I40,科目余额表!B:M,12,0),0))+_xlfn.IFNA(VLOOKUP(J40,科目余额表!B:M,12,0),0)</f>
        <v>0</v>
      </c>
      <c r="F40" s="1">
        <f>ROUND(SUMIF(本期ETY!D:D,B40,本期ETY!F:F),2)</f>
        <v>0</v>
      </c>
      <c r="G40" s="1">
        <f>ROUND(SUMIF(本期ETY!D:D,B40,本期ETY!G:G),2)</f>
        <v>0</v>
      </c>
      <c r="H40" s="114">
        <f t="shared" si="1"/>
        <v>0</v>
      </c>
      <c r="I40" s="1" t="s">
        <v>323</v>
      </c>
      <c r="J40" s="1" t="s">
        <v>882</v>
      </c>
      <c r="K40" s="1" t="s">
        <v>810</v>
      </c>
      <c r="L40" s="1" t="str">
        <f>_xlfn.IFNA(VLOOKUP(I40,科目余额表!B:M,11,0),K40)</f>
        <v>借</v>
      </c>
    </row>
    <row r="41" spans="1:12">
      <c r="A41" s="111" t="s">
        <v>883</v>
      </c>
      <c r="B41" s="112" t="s">
        <v>884</v>
      </c>
      <c r="C41" s="110"/>
      <c r="D41" s="110"/>
      <c r="E41" s="113">
        <f>IF(K41=L41,_xlfn.IFNA(VLOOKUP(I41,科目余额表!B:M,12,0),0),-_xlfn.IFNA(VLOOKUP(I41,科目余额表!B:M,12,0),0))</f>
        <v>0</v>
      </c>
      <c r="F41" s="1">
        <f>ROUND(SUMIF(本期ETY!D:D,B41,本期ETY!F:F),2)</f>
        <v>0</v>
      </c>
      <c r="G41" s="1">
        <f>ROUND(SUMIF(本期ETY!D:D,B41,本期ETY!G:G),2)</f>
        <v>0</v>
      </c>
      <c r="H41" s="114">
        <f t="shared" si="1"/>
        <v>0</v>
      </c>
      <c r="I41" s="1" t="s">
        <v>326</v>
      </c>
      <c r="K41" s="1" t="s">
        <v>810</v>
      </c>
      <c r="L41" s="1" t="str">
        <f>_xlfn.IFNA(VLOOKUP(I41,科目余额表!B:M,11,0),K41)</f>
        <v>借</v>
      </c>
    </row>
    <row r="42" spans="1:12">
      <c r="A42" s="111" t="s">
        <v>885</v>
      </c>
      <c r="B42" s="112" t="s">
        <v>886</v>
      </c>
      <c r="C42" s="110"/>
      <c r="D42" s="110"/>
      <c r="E42" s="113">
        <f>IF(K42=L42,_xlfn.IFNA(VLOOKUP(I42,科目余额表!B:M,12,0),0),-_xlfn.IFNA(VLOOKUP(I42,科目余额表!B:M,12,0),0))</f>
        <v>0</v>
      </c>
      <c r="F42" s="1">
        <f>ROUND(SUMIF(本期ETY!D:D,B42,本期ETY!F:F),2)</f>
        <v>0</v>
      </c>
      <c r="G42" s="1">
        <f>ROUND(SUMIF(本期ETY!D:D,B42,本期ETY!G:G),2)</f>
        <v>0</v>
      </c>
      <c r="H42" s="114">
        <f t="shared" si="1"/>
        <v>0</v>
      </c>
      <c r="I42" s="1" t="s">
        <v>887</v>
      </c>
      <c r="K42" s="1" t="s">
        <v>810</v>
      </c>
      <c r="L42" s="1" t="str">
        <f>_xlfn.IFNA(VLOOKUP(I42,科目余额表!B:M,11,0),K42)</f>
        <v>借</v>
      </c>
    </row>
    <row r="43" spans="1:12">
      <c r="A43" s="111" t="s">
        <v>888</v>
      </c>
      <c r="B43" s="112" t="s">
        <v>889</v>
      </c>
      <c r="C43" s="110"/>
      <c r="D43" s="110"/>
      <c r="E43" s="113">
        <f>IF(K43=L43,_xlfn.IFNA(VLOOKUP(I43,科目余额表!B:M,12,0),0),-_xlfn.IFNA(VLOOKUP(I43,科目余额表!B:M,12,0),0))</f>
        <v>0</v>
      </c>
      <c r="F43" s="1">
        <f>ROUND(SUMIF(本期ETY!D:D,B43,本期ETY!F:F),2)</f>
        <v>0</v>
      </c>
      <c r="G43" s="1">
        <f>ROUND(SUMIF(本期ETY!D:D,B43,本期ETY!G:G),2)</f>
        <v>0</v>
      </c>
      <c r="H43" s="114">
        <f t="shared" si="1"/>
        <v>0</v>
      </c>
      <c r="I43" s="1" t="s">
        <v>328</v>
      </c>
      <c r="K43" s="1" t="s">
        <v>810</v>
      </c>
      <c r="L43" s="1" t="str">
        <f>_xlfn.IFNA(VLOOKUP(I43,科目余额表!B:M,11,0),K43)</f>
        <v>借</v>
      </c>
    </row>
    <row r="44" spans="1:12">
      <c r="A44" s="111" t="s">
        <v>890</v>
      </c>
      <c r="B44" s="112" t="s">
        <v>891</v>
      </c>
      <c r="C44" s="110"/>
      <c r="D44" s="110"/>
      <c r="E44" s="113">
        <f>IF(K44=L44,_xlfn.IFNA(VLOOKUP(I44,科目余额表!B:M,12,0),0),-_xlfn.IFNA(VLOOKUP(I44,科目余额表!B:M,12,0),0))</f>
        <v>0</v>
      </c>
      <c r="F44" s="1">
        <f>ROUND(SUMIF(本期ETY!D:D,B44,本期ETY!F:F),2)</f>
        <v>0</v>
      </c>
      <c r="G44" s="1">
        <f>ROUND(SUMIF(本期ETY!D:D,B44,本期ETY!G:G),2)</f>
        <v>0</v>
      </c>
      <c r="H44" s="114">
        <f t="shared" si="1"/>
        <v>0</v>
      </c>
      <c r="I44" s="1" t="s">
        <v>316</v>
      </c>
      <c r="K44" s="1" t="s">
        <v>810</v>
      </c>
      <c r="L44" s="1" t="str">
        <f>_xlfn.IFNA(VLOOKUP(I44,科目余额表!B:M,11,0),K44)</f>
        <v>借</v>
      </c>
    </row>
    <row r="45" spans="1:12">
      <c r="A45" s="111" t="s">
        <v>892</v>
      </c>
      <c r="B45" s="112" t="s">
        <v>893</v>
      </c>
      <c r="C45" s="110"/>
      <c r="D45" s="110"/>
      <c r="E45" s="113">
        <f>IF(K45=L45,_xlfn.IFNA(VLOOKUP(I45,科目余额表!B:M,12,0),0),-_xlfn.IFNA(VLOOKUP(I45,科目余额表!B:M,12,0),0))</f>
        <v>0</v>
      </c>
      <c r="F45" s="1">
        <f>ROUND(SUMIF(本期ETY!D:D,B45,本期ETY!F:F),2)</f>
        <v>0</v>
      </c>
      <c r="G45" s="1">
        <f>ROUND(SUMIF(本期ETY!D:D,B45,本期ETY!G:G),2)</f>
        <v>0</v>
      </c>
      <c r="H45" s="114">
        <f t="shared" si="1"/>
        <v>0</v>
      </c>
      <c r="I45" s="1" t="s">
        <v>330</v>
      </c>
      <c r="K45" s="1" t="s">
        <v>810</v>
      </c>
      <c r="L45" s="1" t="str">
        <f>_xlfn.IFNA(VLOOKUP(I45,科目余额表!B:M,11,0),K45)</f>
        <v>借</v>
      </c>
    </row>
    <row r="46" spans="1:12">
      <c r="A46" s="111" t="s">
        <v>894</v>
      </c>
      <c r="B46" s="112" t="s">
        <v>895</v>
      </c>
      <c r="C46" s="110"/>
      <c r="D46" s="110"/>
      <c r="E46" s="113">
        <f>IF(K46=L46,_xlfn.IFNA(VLOOKUP(I46,科目余额表!B:M,12,0),0),-_xlfn.IFNA(VLOOKUP(I46,科目余额表!B:M,12,0),0))</f>
        <v>0</v>
      </c>
      <c r="F46" s="1">
        <f>ROUND(SUMIF(本期ETY!D:D,B46,本期ETY!F:F),2)</f>
        <v>0</v>
      </c>
      <c r="G46" s="1">
        <f>ROUND(SUMIF(本期ETY!D:D,B46,本期ETY!G:G),2)</f>
        <v>0</v>
      </c>
      <c r="H46" s="114">
        <f t="shared" si="1"/>
        <v>0</v>
      </c>
      <c r="I46" s="1" t="s">
        <v>332</v>
      </c>
      <c r="K46" s="1" t="s">
        <v>810</v>
      </c>
      <c r="L46" s="1" t="str">
        <f>_xlfn.IFNA(VLOOKUP(I46,科目余额表!B:M,11,0),K46)</f>
        <v>借</v>
      </c>
    </row>
    <row r="47" spans="1:12">
      <c r="A47" s="111" t="s">
        <v>896</v>
      </c>
      <c r="B47" s="112" t="s">
        <v>897</v>
      </c>
      <c r="C47" s="110"/>
      <c r="D47" s="110"/>
      <c r="E47" s="113">
        <f>IF(K47=L47,_xlfn.IFNA(VLOOKUP(I47,科目余额表!B:M,12,0),0),-_xlfn.IFNA(VLOOKUP(I47,科目余额表!B:M,12,0),0))</f>
        <v>0</v>
      </c>
      <c r="F47" s="1">
        <f>ROUND(SUMIF(本期ETY!D:D,B47,本期ETY!F:F),2)</f>
        <v>0</v>
      </c>
      <c r="G47" s="1">
        <f>ROUND(SUMIF(本期ETY!D:D,B47,本期ETY!G:G),2)</f>
        <v>0</v>
      </c>
      <c r="H47" s="114">
        <f t="shared" si="1"/>
        <v>0</v>
      </c>
      <c r="I47" s="1" t="s">
        <v>898</v>
      </c>
      <c r="K47" s="1" t="s">
        <v>810</v>
      </c>
      <c r="L47" s="1" t="str">
        <f>_xlfn.IFNA(VLOOKUP(I47,科目余额表!B:M,11,0),K47)</f>
        <v>借</v>
      </c>
    </row>
    <row r="48" spans="1:12">
      <c r="A48" s="111" t="s">
        <v>899</v>
      </c>
      <c r="B48" s="112" t="s">
        <v>900</v>
      </c>
      <c r="C48" s="110"/>
      <c r="D48" s="110"/>
      <c r="E48" s="113">
        <f>IF(K48=L48,_xlfn.IFNA(VLOOKUP(I48,科目余额表!B:M,12,0),0),-_xlfn.IFNA(VLOOKUP(I48,科目余额表!B:M,12,0),0))</f>
        <v>0</v>
      </c>
      <c r="F48" s="1">
        <f>ROUND(SUMIF(本期ETY!D:D,B48,本期ETY!F:F),2)</f>
        <v>0</v>
      </c>
      <c r="G48" s="1">
        <f>ROUND(SUMIF(本期ETY!D:D,B48,本期ETY!G:G),2)</f>
        <v>0</v>
      </c>
      <c r="H48" s="114">
        <f t="shared" si="1"/>
        <v>0</v>
      </c>
      <c r="I48" s="1" t="s">
        <v>901</v>
      </c>
      <c r="K48" s="1" t="s">
        <v>810</v>
      </c>
      <c r="L48" s="1" t="str">
        <f>_xlfn.IFNA(VLOOKUP(I48,科目余额表!B:M,11,0),K48)</f>
        <v>借</v>
      </c>
    </row>
    <row r="49" spans="1:12">
      <c r="A49" s="111" t="s">
        <v>902</v>
      </c>
      <c r="B49" s="112" t="s">
        <v>903</v>
      </c>
      <c r="C49" s="110"/>
      <c r="D49" s="110"/>
      <c r="E49" s="113">
        <f>IF(K49=L49,_xlfn.IFNA(VLOOKUP(I49,科目余额表!B:M,12,0),0),-_xlfn.IFNA(VLOOKUP(I49,科目余额表!B:M,12,0),0))</f>
        <v>0</v>
      </c>
      <c r="F49" s="1">
        <f>ROUND(SUMIF(本期ETY!D:D,B49,本期ETY!F:F),2)</f>
        <v>0</v>
      </c>
      <c r="G49" s="1">
        <f>ROUND(SUMIF(本期ETY!D:D,B49,本期ETY!G:G),2)</f>
        <v>0</v>
      </c>
      <c r="H49" s="114">
        <f>ROUND(E49-F49+G49,2)</f>
        <v>0</v>
      </c>
      <c r="I49" s="1" t="s">
        <v>904</v>
      </c>
      <c r="K49" s="1" t="s">
        <v>832</v>
      </c>
      <c r="L49" s="1" t="str">
        <f>_xlfn.IFNA(VLOOKUP(I49,科目余额表!B:M,11,0),K49)</f>
        <v>贷</v>
      </c>
    </row>
    <row r="50" spans="1:12">
      <c r="A50" s="111" t="s">
        <v>905</v>
      </c>
      <c r="B50" s="112" t="s">
        <v>78</v>
      </c>
      <c r="C50" s="110"/>
      <c r="D50" s="110"/>
      <c r="E50" s="110">
        <f>E34-E49</f>
        <v>0</v>
      </c>
      <c r="F50" s="110">
        <f t="shared" ref="F50:G50" si="6">F34-F49</f>
        <v>0</v>
      </c>
      <c r="G50" s="110">
        <f t="shared" si="6"/>
        <v>0</v>
      </c>
      <c r="H50" s="110">
        <f>H34-H49</f>
        <v>0</v>
      </c>
      <c r="L50" s="1">
        <f>_xlfn.IFNA(VLOOKUP(I50,科目余额表!B:M,11,0),K50)</f>
        <v>0</v>
      </c>
    </row>
    <row r="51" spans="1:12">
      <c r="A51" s="111" t="s">
        <v>906</v>
      </c>
      <c r="B51" s="112" t="s">
        <v>907</v>
      </c>
      <c r="C51" s="110"/>
      <c r="D51" s="110"/>
      <c r="E51" s="113">
        <f>IF(K51=L51,_xlfn.IFNA(VLOOKUP(I51,科目余额表!B:M,12,0),0),-_xlfn.IFNA(VLOOKUP(I51,科目余额表!B:M,12,0),0))</f>
        <v>0</v>
      </c>
      <c r="F51" s="1">
        <f>ROUND(SUMIF(本期ETY!D:D,B51,本期ETY!F:F),2)</f>
        <v>0</v>
      </c>
      <c r="G51" s="1">
        <f>ROUND(SUMIF(本期ETY!D:D,B51,本期ETY!G:G),2)</f>
        <v>0</v>
      </c>
      <c r="H51" s="114">
        <f t="shared" si="1"/>
        <v>0</v>
      </c>
      <c r="I51" s="1" t="s">
        <v>77</v>
      </c>
      <c r="K51" s="1" t="s">
        <v>810</v>
      </c>
      <c r="L51" s="1" t="str">
        <f>_xlfn.IFNA(VLOOKUP(I51,科目余额表!B:M,11,0),K51)</f>
        <v>借</v>
      </c>
    </row>
    <row r="52" spans="1:12">
      <c r="A52" s="111" t="s">
        <v>908</v>
      </c>
      <c r="B52" s="112" t="s">
        <v>909</v>
      </c>
      <c r="C52" s="110"/>
      <c r="D52" s="110"/>
      <c r="E52" s="113">
        <f>IF(K52=L52,_xlfn.IFNA(VLOOKUP(I52,科目余额表!B:M,12,0),0),-_xlfn.IFNA(VLOOKUP(I52,科目余额表!B:M,12,0),0))</f>
        <v>0</v>
      </c>
      <c r="F52" s="1">
        <f>ROUND(SUMIF(本期ETY!D:D,B52,本期ETY!F:F),2)</f>
        <v>0</v>
      </c>
      <c r="G52" s="1">
        <f>ROUND(SUMIF(本期ETY!D:D,B52,本期ETY!G:G),2)</f>
        <v>0</v>
      </c>
      <c r="H52" s="114">
        <f>ROUND(E52-F52+G52,2)</f>
        <v>0</v>
      </c>
      <c r="I52" s="1" t="s">
        <v>910</v>
      </c>
      <c r="K52" s="1" t="s">
        <v>832</v>
      </c>
      <c r="L52" s="1" t="str">
        <f>_xlfn.IFNA(VLOOKUP(I52,科目余额表!B:M,11,0),K52)</f>
        <v>贷</v>
      </c>
    </row>
    <row r="53" spans="1:12">
      <c r="A53" s="111" t="s">
        <v>911</v>
      </c>
      <c r="B53" s="112"/>
      <c r="C53" s="110"/>
      <c r="D53" s="116" t="s">
        <v>823</v>
      </c>
      <c r="E53" s="110">
        <f>E51-E52</f>
        <v>0</v>
      </c>
      <c r="F53" s="110">
        <f t="shared" ref="F53:H53" si="7">F51-F52</f>
        <v>0</v>
      </c>
      <c r="G53" s="110">
        <f t="shared" si="7"/>
        <v>0</v>
      </c>
      <c r="H53" s="110">
        <f t="shared" si="7"/>
        <v>0</v>
      </c>
      <c r="L53" s="1">
        <f>_xlfn.IFNA(VLOOKUP(I53,科目余额表!B:M,11,0),K53)</f>
        <v>0</v>
      </c>
    </row>
    <row r="54" spans="1:12">
      <c r="A54" s="112" t="s">
        <v>912</v>
      </c>
      <c r="B54" s="112" t="s">
        <v>913</v>
      </c>
      <c r="C54" s="110"/>
      <c r="D54" s="110"/>
      <c r="E54" s="113">
        <f>IF(K54=L54,_xlfn.IFNA(VLOOKUP(I54,科目余额表!B:M,12,0),0),-_xlfn.IFNA(VLOOKUP(I54,科目余额表!B:M,12,0),0))</f>
        <v>0</v>
      </c>
      <c r="F54" s="1">
        <f>ROUND(SUMIF(本期ETY!D:D,B54,本期ETY!F:F),2)</f>
        <v>0</v>
      </c>
      <c r="G54" s="1">
        <f>ROUND(SUMIF(本期ETY!D:D,B54,本期ETY!G:G),2)</f>
        <v>0</v>
      </c>
      <c r="H54" s="114">
        <f t="shared" si="1"/>
        <v>0</v>
      </c>
      <c r="I54" s="1" t="s">
        <v>913</v>
      </c>
      <c r="K54" s="1" t="s">
        <v>810</v>
      </c>
      <c r="L54" s="1" t="str">
        <f>_xlfn.IFNA(VLOOKUP(I54,科目余额表!B:M,11,0),K54)</f>
        <v>借</v>
      </c>
    </row>
    <row r="55" spans="1:12">
      <c r="A55" s="111" t="s">
        <v>914</v>
      </c>
      <c r="B55" s="112" t="s">
        <v>915</v>
      </c>
      <c r="C55" s="110"/>
      <c r="D55" s="110"/>
      <c r="E55" s="113">
        <f>IF(K55=L55,_xlfn.IFNA(VLOOKUP(I55,科目余额表!B:M,12,0),0),-_xlfn.IFNA(VLOOKUP(I55,科目余额表!B:M,12,0),0))</f>
        <v>0</v>
      </c>
      <c r="F55" s="1">
        <f>ROUND(SUMIF(本期ETY!D:D,B55,本期ETY!F:F),2)</f>
        <v>0</v>
      </c>
      <c r="G55" s="1">
        <f>ROUND(SUMIF(本期ETY!D:D,B55,本期ETY!G:G),2)</f>
        <v>0</v>
      </c>
      <c r="H55" s="114">
        <f t="shared" si="1"/>
        <v>0</v>
      </c>
      <c r="I55" s="1" t="s">
        <v>915</v>
      </c>
      <c r="K55" s="1" t="s">
        <v>810</v>
      </c>
      <c r="L55" s="1" t="str">
        <f>_xlfn.IFNA(VLOOKUP(I55,科目余额表!B:M,11,0),K55)</f>
        <v>借</v>
      </c>
    </row>
    <row r="56" spans="1:12">
      <c r="A56" s="111" t="s">
        <v>916</v>
      </c>
      <c r="B56" s="112" t="s">
        <v>79</v>
      </c>
      <c r="C56" s="110"/>
      <c r="D56" s="110"/>
      <c r="E56" s="113">
        <f>IF(K56=L56,_xlfn.IFNA(VLOOKUP(I56,科目余额表!B:M,12,0),0),-_xlfn.IFNA(VLOOKUP(I56,科目余额表!B:M,12,0),0))</f>
        <v>0</v>
      </c>
      <c r="F56" s="1">
        <f>ROUND(SUMIF(本期ETY!D:D,B56,本期ETY!F:F),2)</f>
        <v>0</v>
      </c>
      <c r="G56" s="1">
        <f>ROUND(SUMIF(本期ETY!D:D,B56,本期ETY!G:G),2)</f>
        <v>0</v>
      </c>
      <c r="H56" s="114">
        <f t="shared" si="1"/>
        <v>0</v>
      </c>
      <c r="I56" s="1" t="s">
        <v>79</v>
      </c>
      <c r="K56" s="1" t="s">
        <v>810</v>
      </c>
      <c r="L56" s="1" t="str">
        <f>_xlfn.IFNA(VLOOKUP(I56,科目余额表!B:M,11,0),K56)</f>
        <v>借</v>
      </c>
    </row>
    <row r="57" spans="1:12">
      <c r="A57" s="109" t="s">
        <v>917</v>
      </c>
      <c r="B57" s="112"/>
      <c r="C57" s="117"/>
      <c r="D57" s="117"/>
      <c r="E57" s="118">
        <f>E3+E7+E8+E9+E10+E11+E14+E17+E18+E19+E20+E21+E22+E31+E32+E50+E53+E54+E55+E56+E25+E28+E33</f>
        <v>0</v>
      </c>
      <c r="F57" s="118">
        <f>F3+F7+F8+F9+F10+F11+F14+F17+F18+F19+F20+F21+F22+F31+F32+F50+F53+F54+F55+F56+F25+F28+F33</f>
        <v>0</v>
      </c>
      <c r="G57" s="118">
        <f>G3+G7+G8+G9+G10+G11+G14+G17+G18+G19+G20+G21+G22+G31+G32+G50+G53+G54+G55+G56+G25+G28+G33</f>
        <v>0</v>
      </c>
      <c r="H57" s="118">
        <f>H3+H7+H8+H9+H10+H11+H14+H17+H18+H19+H20+H21+H22+H31+H32+H50+H53+H54+H55+H56+H25+H28+H33</f>
        <v>0</v>
      </c>
      <c r="L57" s="1">
        <f>_xlfn.IFNA(VLOOKUP(I57,科目余额表!B:M,11,0),K57)</f>
        <v>0</v>
      </c>
    </row>
    <row r="58" spans="1:12">
      <c r="A58" s="109" t="s">
        <v>918</v>
      </c>
      <c r="B58" s="112"/>
      <c r="C58" s="110"/>
      <c r="D58" s="110"/>
      <c r="E58" s="110"/>
      <c r="L58" s="1">
        <f>_xlfn.IFNA(VLOOKUP(I58,科目余额表!B:M,11,0),K58)</f>
        <v>0</v>
      </c>
    </row>
    <row r="59" spans="1:12">
      <c r="A59" s="111" t="s">
        <v>919</v>
      </c>
      <c r="B59" s="112" t="s">
        <v>920</v>
      </c>
      <c r="C59" s="110"/>
      <c r="D59" s="110"/>
      <c r="E59" s="113">
        <f>IF(K59=L59,_xlfn.IFNA(VLOOKUP(I59,科目余额表!B:M,12,0),0),-_xlfn.IFNA(VLOOKUP(I59,科目余额表!B:M,12,0),0))</f>
        <v>0</v>
      </c>
      <c r="F59" s="1">
        <f>ROUND(SUMIF(本期ETY!D:D,B59,本期ETY!F:F),2)</f>
        <v>0</v>
      </c>
      <c r="G59" s="1">
        <f>ROUND(SUMIF(本期ETY!D:D,B59,本期ETY!G:G),2)</f>
        <v>0</v>
      </c>
      <c r="H59" s="114">
        <f t="shared" ref="H59:H72" si="8">ROUND(E59+F59-G59,2)</f>
        <v>0</v>
      </c>
      <c r="I59" s="1" t="s">
        <v>920</v>
      </c>
      <c r="K59" s="1" t="s">
        <v>810</v>
      </c>
      <c r="L59" s="1" t="str">
        <f>_xlfn.IFNA(VLOOKUP(I59,科目余额表!B:M,11,0),K59)</f>
        <v>借</v>
      </c>
    </row>
    <row r="60" spans="1:12">
      <c r="A60" s="111" t="s">
        <v>921</v>
      </c>
      <c r="B60" s="112" t="s">
        <v>922</v>
      </c>
      <c r="C60" s="110"/>
      <c r="D60" s="110"/>
      <c r="E60" s="113">
        <f>IF(K60=L60,_xlfn.IFNA(VLOOKUP(I60,科目余额表!B:M,12,0),0),-_xlfn.IFNA(VLOOKUP(I60,科目余额表!B:M,12,0),0))</f>
        <v>0</v>
      </c>
      <c r="F60" s="1"/>
      <c r="G60" s="1"/>
      <c r="H60" s="114">
        <f t="shared" si="8"/>
        <v>0</v>
      </c>
      <c r="I60" s="1" t="s">
        <v>12</v>
      </c>
      <c r="K60" s="1" t="s">
        <v>810</v>
      </c>
      <c r="L60" s="1" t="str">
        <f>_xlfn.IFNA(VLOOKUP(I60,科目余额表!B:M,11,0),K60)</f>
        <v>借</v>
      </c>
    </row>
    <row r="61" spans="1:12">
      <c r="A61" s="111" t="s">
        <v>923</v>
      </c>
      <c r="B61" s="112" t="s">
        <v>924</v>
      </c>
      <c r="C61" s="110"/>
      <c r="D61" s="110"/>
      <c r="E61" s="113">
        <f>IF(K61=L61,_xlfn.IFNA(VLOOKUP(I61,科目余额表!B:M,12,0),0),-_xlfn.IFNA(VLOOKUP(I61,科目余额表!B:M,12,0),0))</f>
        <v>0</v>
      </c>
      <c r="F61" s="1"/>
      <c r="G61" s="1"/>
      <c r="H61" s="114">
        <f>ROUND(E61-F61+G61,2)</f>
        <v>0</v>
      </c>
      <c r="I61" s="1" t="s">
        <v>924</v>
      </c>
      <c r="K61" s="1" t="s">
        <v>925</v>
      </c>
      <c r="L61" s="1" t="s">
        <v>925</v>
      </c>
    </row>
    <row r="62" spans="1:12">
      <c r="A62" s="111" t="s">
        <v>926</v>
      </c>
      <c r="B62" s="112"/>
      <c r="C62" s="110"/>
      <c r="D62" s="116" t="s">
        <v>823</v>
      </c>
      <c r="E62" s="110">
        <f>E60-E61</f>
        <v>0</v>
      </c>
      <c r="F62" s="1">
        <f>ROUND(SUMIF(本期ETY!D:D,B62,本期ETY!F:F),2)</f>
        <v>0</v>
      </c>
      <c r="G62" s="1">
        <f>ROUND(SUMIF(本期ETY!D:D,B62,本期ETY!G:G),2)</f>
        <v>0</v>
      </c>
      <c r="H62" s="114">
        <f>H60-H61</f>
        <v>0</v>
      </c>
    </row>
    <row r="63" spans="1:12">
      <c r="A63" s="112" t="s">
        <v>927</v>
      </c>
      <c r="B63" s="112" t="s">
        <v>14</v>
      </c>
      <c r="C63" s="116" t="s">
        <v>825</v>
      </c>
      <c r="D63" s="116"/>
      <c r="E63" s="113">
        <f>IF(K63=L63,_xlfn.IFNA(VLOOKUP(I63,科目余额表!B:M,12,0),0),-_xlfn.IFNA(VLOOKUP(I63,科目余额表!B:M,12,0),0))</f>
        <v>0</v>
      </c>
      <c r="F63" s="1">
        <f>ROUND(SUMIF(本期ETY!D:D,B63,本期ETY!F:F),2)</f>
        <v>0</v>
      </c>
      <c r="G63" s="1">
        <f>ROUND(SUMIF(本期ETY!D:D,B63,本期ETY!G:G),2)</f>
        <v>0</v>
      </c>
      <c r="H63" s="114">
        <f t="shared" si="8"/>
        <v>0</v>
      </c>
      <c r="I63" s="1" t="s">
        <v>14</v>
      </c>
      <c r="K63" s="1" t="s">
        <v>810</v>
      </c>
      <c r="L63" s="1" t="str">
        <f>_xlfn.IFNA(VLOOKUP(I63,科目余额表!B:M,11,0),K63)</f>
        <v>借</v>
      </c>
    </row>
    <row r="64" spans="1:12" ht="13.2" customHeight="1">
      <c r="A64" s="112" t="s">
        <v>928</v>
      </c>
      <c r="B64" s="112" t="s">
        <v>929</v>
      </c>
      <c r="C64" s="116"/>
      <c r="D64" s="116"/>
      <c r="E64" s="113">
        <f>IF(K64=L64,_xlfn.IFNA(VLOOKUP(I64,科目余额表!B:M,12,0),0),-_xlfn.IFNA(VLOOKUP(I64,科目余额表!B:M,12,0),0))</f>
        <v>0</v>
      </c>
      <c r="F64" s="1">
        <f>ROUND(SUMIF(本期ETY!D:D,B64,本期ETY!F:F),2)</f>
        <v>0</v>
      </c>
      <c r="G64" s="1">
        <f>ROUND(SUMIF(本期ETY!D:D,B64,本期ETY!G:G),2)</f>
        <v>0</v>
      </c>
      <c r="H64" s="114">
        <f t="shared" si="8"/>
        <v>0</v>
      </c>
    </row>
    <row r="65" spans="1:12">
      <c r="A65" s="112" t="s">
        <v>930</v>
      </c>
      <c r="B65" s="112" t="s">
        <v>931</v>
      </c>
      <c r="C65" s="116"/>
      <c r="D65" s="116"/>
      <c r="E65" s="113">
        <f>IF(K65=L65,_xlfn.IFNA(VLOOKUP(I65,科目余额表!B:M,12,0),0),-_xlfn.IFNA(VLOOKUP(I65,科目余额表!B:M,12,0),0))</f>
        <v>0</v>
      </c>
      <c r="F65" s="1">
        <f>ROUND(SUMIF(本期ETY!D:D,B65,本期ETY!F:F),2)</f>
        <v>0</v>
      </c>
      <c r="G65" s="1">
        <f>ROUND(SUMIF(本期ETY!D:D,B65,本期ETY!G:G),2)</f>
        <v>0</v>
      </c>
      <c r="H65" s="114">
        <f>ROUND(E65-F65+G65,2)</f>
        <v>0</v>
      </c>
    </row>
    <row r="66" spans="1:12">
      <c r="A66" s="112" t="s">
        <v>932</v>
      </c>
      <c r="B66" s="112"/>
      <c r="C66" s="110"/>
      <c r="D66" s="116" t="s">
        <v>823</v>
      </c>
      <c r="E66" s="110">
        <f>E64-E65</f>
        <v>0</v>
      </c>
      <c r="F66" s="1"/>
      <c r="G66" s="1"/>
      <c r="H66" s="114">
        <f>H64-H65</f>
        <v>0</v>
      </c>
      <c r="I66" s="1" t="s">
        <v>16</v>
      </c>
      <c r="K66" s="1" t="s">
        <v>810</v>
      </c>
      <c r="L66" s="1" t="str">
        <f>_xlfn.IFNA(VLOOKUP(I66,科目余额表!B:M,11,0),K66)</f>
        <v>借</v>
      </c>
    </row>
    <row r="67" spans="1:12">
      <c r="A67" s="112" t="s">
        <v>933</v>
      </c>
      <c r="B67" s="112" t="s">
        <v>11</v>
      </c>
      <c r="C67" s="116" t="s">
        <v>825</v>
      </c>
      <c r="D67" s="116"/>
      <c r="E67" s="113">
        <f>IF(K67=L67,_xlfn.IFNA(VLOOKUP(I67,科目余额表!B:M,12,0),0),-_xlfn.IFNA(VLOOKUP(I67,科目余额表!B:M,12,0),0))</f>
        <v>0</v>
      </c>
      <c r="F67" s="1">
        <f>ROUND(SUMIF(本期ETY!D:D,B67,本期ETY!F:F),2)</f>
        <v>0</v>
      </c>
      <c r="G67" s="1">
        <f>ROUND(SUMIF(本期ETY!D:D,B67,本期ETY!G:G),2)</f>
        <v>0</v>
      </c>
      <c r="H67" s="114">
        <f t="shared" si="8"/>
        <v>0</v>
      </c>
      <c r="I67" s="1" t="s">
        <v>11</v>
      </c>
      <c r="K67" s="1" t="s">
        <v>810</v>
      </c>
      <c r="L67" s="1" t="str">
        <f>_xlfn.IFNA(VLOOKUP(I67,科目余额表!B:M,11,0),K67)</f>
        <v>借</v>
      </c>
    </row>
    <row r="68" spans="1:12">
      <c r="A68" s="112" t="s">
        <v>934</v>
      </c>
      <c r="B68" s="112" t="s">
        <v>935</v>
      </c>
      <c r="C68" s="116"/>
      <c r="D68" s="116"/>
      <c r="E68" s="113">
        <f>IF(K68=L68,_xlfn.IFNA(VLOOKUP(I68,科目余额表!B:M,12,0),0),-_xlfn.IFNA(VLOOKUP(I68,科目余额表!B:M,12,0),0))</f>
        <v>0</v>
      </c>
      <c r="F68" s="1">
        <f>ROUND(SUMIF(本期ETY!D:D,B68,本期ETY!F:F),2)</f>
        <v>0</v>
      </c>
      <c r="G68" s="1">
        <f>ROUND(SUMIF(本期ETY!D:D,B68,本期ETY!G:G),2)</f>
        <v>0</v>
      </c>
      <c r="H68" s="114">
        <f t="shared" si="8"/>
        <v>0</v>
      </c>
      <c r="I68" s="1" t="s">
        <v>20</v>
      </c>
      <c r="K68" s="1" t="s">
        <v>810</v>
      </c>
      <c r="L68" s="1" t="str">
        <f>_xlfn.IFNA(VLOOKUP(I68,科目余额表!B:M,11,0),K68)</f>
        <v>借</v>
      </c>
    </row>
    <row r="69" spans="1:12">
      <c r="A69" s="112" t="s">
        <v>936</v>
      </c>
      <c r="B69" s="112" t="s">
        <v>937</v>
      </c>
      <c r="C69" s="116"/>
      <c r="D69" s="116"/>
      <c r="E69" s="113">
        <f>IF(K69=L69,_xlfn.IFNA(VLOOKUP(I69,科目余额表!B:M,12,0),0),-_xlfn.IFNA(VLOOKUP(I69,科目余额表!B:M,12,0),0))</f>
        <v>0</v>
      </c>
      <c r="F69" s="1">
        <f>ROUND(SUMIF(本期ETY!D:D,B69,本期ETY!F:F),2)</f>
        <v>0</v>
      </c>
      <c r="G69" s="1">
        <f>ROUND(SUMIF(本期ETY!D:D,B69,本期ETY!G:G),2)</f>
        <v>0</v>
      </c>
      <c r="H69" s="114">
        <f>ROUND(E69-F69+G69,2)</f>
        <v>0</v>
      </c>
      <c r="I69" s="1" t="s">
        <v>937</v>
      </c>
      <c r="K69" s="1" t="s">
        <v>925</v>
      </c>
      <c r="L69" s="1" t="s">
        <v>925</v>
      </c>
    </row>
    <row r="70" spans="1:12">
      <c r="A70" s="112" t="s">
        <v>938</v>
      </c>
      <c r="B70" s="112" t="s">
        <v>939</v>
      </c>
      <c r="C70" s="116"/>
      <c r="D70" s="116"/>
      <c r="E70" s="113">
        <f>IF(K70=L70,_xlfn.IFNA(VLOOKUP(I70,科目余额表!B:M,12,0),0),-_xlfn.IFNA(VLOOKUP(I70,科目余额表!B:M,12,0),0))</f>
        <v>0</v>
      </c>
      <c r="F70" s="1">
        <f>ROUND(SUMIF(本期ETY!D:D,B70,本期ETY!F:F),2)</f>
        <v>0</v>
      </c>
      <c r="G70" s="1">
        <f>ROUND(SUMIF(本期ETY!D:D,B70,本期ETY!G:G),2)</f>
        <v>0</v>
      </c>
      <c r="H70" s="114">
        <f>ROUND(E70-F70+G70,2)</f>
        <v>0</v>
      </c>
      <c r="I70" s="1" t="s">
        <v>939</v>
      </c>
      <c r="K70" s="1" t="s">
        <v>925</v>
      </c>
      <c r="L70" s="1" t="s">
        <v>925</v>
      </c>
    </row>
    <row r="71" spans="1:12">
      <c r="A71" s="111" t="s">
        <v>940</v>
      </c>
      <c r="B71" s="112"/>
      <c r="C71" s="110"/>
      <c r="D71" s="110"/>
      <c r="E71" s="110">
        <f>E68-E69-E70</f>
        <v>0</v>
      </c>
      <c r="F71" s="1"/>
      <c r="G71" s="1"/>
      <c r="H71" s="114">
        <f>H68-H69-H70</f>
        <v>0</v>
      </c>
    </row>
    <row r="72" spans="1:12">
      <c r="A72" s="111" t="s">
        <v>941</v>
      </c>
      <c r="B72" s="112" t="s">
        <v>942</v>
      </c>
      <c r="C72" s="110"/>
      <c r="D72" s="110"/>
      <c r="E72" s="113">
        <f>IF(K72=L72,_xlfn.IFNA(VLOOKUP(I72,科目余额表!B:M,12,0),0),-_xlfn.IFNA(VLOOKUP(I72,科目余额表!B:M,12,0),0))</f>
        <v>0</v>
      </c>
      <c r="F72" s="1">
        <f>ROUND(SUMIF(本期ETY!D:D,B72,本期ETY!F:F),2)</f>
        <v>0</v>
      </c>
      <c r="G72" s="1">
        <f>ROUND(SUMIF(本期ETY!D:D,B72,本期ETY!G:G),2)</f>
        <v>0</v>
      </c>
      <c r="H72" s="114">
        <f t="shared" si="8"/>
        <v>0</v>
      </c>
      <c r="I72" s="1" t="s">
        <v>743</v>
      </c>
      <c r="K72" s="1" t="s">
        <v>810</v>
      </c>
      <c r="L72" s="1" t="str">
        <f>_xlfn.IFNA(VLOOKUP(I72,科目余额表!B:M,11,0),K72)</f>
        <v>借</v>
      </c>
    </row>
    <row r="73" spans="1:12">
      <c r="A73" s="111" t="s">
        <v>943</v>
      </c>
      <c r="B73" s="112" t="s">
        <v>944</v>
      </c>
      <c r="C73" s="110"/>
      <c r="D73" s="110"/>
      <c r="E73" s="113">
        <f>IF(K73=L73,_xlfn.IFNA(VLOOKUP(I73,科目余额表!B:M,12,0),0),-_xlfn.IFNA(VLOOKUP(I73,科目余额表!B:M,12,0),0))</f>
        <v>0</v>
      </c>
      <c r="F73" s="1">
        <f>ROUND(SUMIF(本期ETY!D:D,B73,本期ETY!F:F),2)</f>
        <v>0</v>
      </c>
      <c r="G73" s="1">
        <f>ROUND(SUMIF(本期ETY!D:D,B73,本期ETY!G:G),2)</f>
        <v>0</v>
      </c>
      <c r="H73" s="114">
        <f>ROUND(E73-F73+G73,2)</f>
        <v>0</v>
      </c>
      <c r="I73" s="1" t="s">
        <v>744</v>
      </c>
      <c r="K73" s="1" t="s">
        <v>832</v>
      </c>
      <c r="L73" s="1" t="str">
        <f>_xlfn.IFNA(VLOOKUP(I73,科目余额表!B:M,11,0),K73)</f>
        <v>贷</v>
      </c>
    </row>
    <row r="74" spans="1:12">
      <c r="A74" s="111" t="s">
        <v>945</v>
      </c>
      <c r="B74" s="112"/>
      <c r="C74" s="110"/>
      <c r="D74" s="110"/>
      <c r="E74" s="110">
        <f>E72-E73</f>
        <v>0</v>
      </c>
      <c r="F74" s="110">
        <f t="shared" ref="F74:H74" si="9">F72-F73</f>
        <v>0</v>
      </c>
      <c r="G74" s="110">
        <f t="shared" si="9"/>
        <v>0</v>
      </c>
      <c r="H74" s="110">
        <f t="shared" si="9"/>
        <v>0</v>
      </c>
      <c r="L74" s="1">
        <f>_xlfn.IFNA(VLOOKUP(I74,科目余额表!B:M,11,0),K74)</f>
        <v>0</v>
      </c>
    </row>
    <row r="75" spans="1:12">
      <c r="A75" s="111" t="s">
        <v>946</v>
      </c>
      <c r="B75" s="112" t="s">
        <v>19</v>
      </c>
      <c r="C75" s="110"/>
      <c r="D75" s="116" t="s">
        <v>823</v>
      </c>
      <c r="E75" s="113">
        <f>IF(K75=L75,_xlfn.IFNA(VLOOKUP(I75,科目余额表!B:M,12,0),0),-_xlfn.IFNA(VLOOKUP(I75,科目余额表!B:M,12,0),0))</f>
        <v>0</v>
      </c>
      <c r="F75" s="1">
        <f>ROUND(SUMIF(本期ETY!D:D,B75,本期ETY!F:F),2)</f>
        <v>0</v>
      </c>
      <c r="G75" s="1">
        <f>ROUND(SUMIF(本期ETY!D:D,B75,本期ETY!G:G),2)</f>
        <v>0</v>
      </c>
      <c r="H75" s="114">
        <f t="shared" ref="H75:H77" si="10">ROUND(E75+F75-G75,2)</f>
        <v>0</v>
      </c>
      <c r="I75" s="1" t="s">
        <v>19</v>
      </c>
      <c r="K75" s="1" t="s">
        <v>810</v>
      </c>
      <c r="L75" s="1" t="str">
        <f>_xlfn.IFNA(VLOOKUP(I75,科目余额表!B:M,11,0),K75)</f>
        <v>借</v>
      </c>
    </row>
    <row r="76" spans="1:12">
      <c r="A76" s="111" t="s">
        <v>947</v>
      </c>
      <c r="B76" s="112" t="s">
        <v>44</v>
      </c>
      <c r="C76" s="110"/>
      <c r="D76" s="116" t="s">
        <v>823</v>
      </c>
      <c r="E76" s="113">
        <f>IF(K76=L76,_xlfn.IFNA(VLOOKUP(I76,科目余额表!B:M,12,0),0),-_xlfn.IFNA(VLOOKUP(I76,科目余额表!B:M,12,0),0))</f>
        <v>0</v>
      </c>
      <c r="F76" s="1">
        <f>ROUND(SUMIF(本期ETY!D:D,B76,本期ETY!F:F),2)</f>
        <v>0</v>
      </c>
      <c r="G76" s="1">
        <f>ROUND(SUMIF(本期ETY!D:D,B76,本期ETY!G:G),2)</f>
        <v>0</v>
      </c>
      <c r="H76" s="114">
        <f t="shared" si="10"/>
        <v>0</v>
      </c>
      <c r="I76" s="1" t="s">
        <v>44</v>
      </c>
      <c r="K76" s="1" t="s">
        <v>810</v>
      </c>
      <c r="L76" s="1" t="str">
        <f>_xlfn.IFNA(VLOOKUP(I76,科目余额表!B:M,11,0),K76)</f>
        <v>借</v>
      </c>
    </row>
    <row r="77" spans="1:12">
      <c r="A77" s="111" t="s">
        <v>948</v>
      </c>
      <c r="B77" s="112" t="s">
        <v>949</v>
      </c>
      <c r="C77" s="110"/>
      <c r="D77" s="116"/>
      <c r="E77" s="113">
        <f>IF(K77=L77,_xlfn.IFNA(VLOOKUP(I77,科目余额表!B:M,12,0),0),-_xlfn.IFNA(VLOOKUP(I77,科目余额表!B:M,12,0),0))</f>
        <v>0</v>
      </c>
      <c r="F77" s="1">
        <f>ROUND(SUMIF(本期ETY!D:D,B77,本期ETY!F:F),2)</f>
        <v>0</v>
      </c>
      <c r="G77" s="1">
        <f>ROUND(SUMIF(本期ETY!D:D,B77,本期ETY!G:G),2)</f>
        <v>0</v>
      </c>
      <c r="H77" s="114">
        <f t="shared" si="10"/>
        <v>0</v>
      </c>
      <c r="I77" s="1" t="s">
        <v>745</v>
      </c>
      <c r="K77" s="1" t="s">
        <v>810</v>
      </c>
      <c r="L77" s="1" t="str">
        <f>_xlfn.IFNA(VLOOKUP(I77,科目余额表!B:M,11,0),K77)</f>
        <v>借</v>
      </c>
    </row>
    <row r="78" spans="1:12">
      <c r="A78" s="111" t="s">
        <v>950</v>
      </c>
      <c r="B78" s="112" t="s">
        <v>951</v>
      </c>
      <c r="C78" s="110"/>
      <c r="D78" s="116"/>
      <c r="E78" s="113">
        <f>IF(K78=L78,_xlfn.IFNA(VLOOKUP(I78,科目余额表!B:M,12,0),0),-_xlfn.IFNA(VLOOKUP(I78,科目余额表!B:M,12,0),0))</f>
        <v>0</v>
      </c>
      <c r="F78" s="1">
        <f>ROUND(SUMIF(本期ETY!D:D,B78,本期ETY!F:F),2)</f>
        <v>0</v>
      </c>
      <c r="G78" s="1">
        <f>ROUND(SUMIF(本期ETY!D:D,B78,本期ETY!G:G),2)</f>
        <v>0</v>
      </c>
      <c r="H78" s="114">
        <f>ROUND(E78-F78+G78,2)</f>
        <v>0</v>
      </c>
      <c r="I78" s="1" t="s">
        <v>952</v>
      </c>
      <c r="K78" s="1" t="s">
        <v>832</v>
      </c>
      <c r="L78" s="1" t="str">
        <f>_xlfn.IFNA(VLOOKUP(I78,科目余额表!B:M,11,0),K78)</f>
        <v>贷</v>
      </c>
    </row>
    <row r="79" spans="1:12">
      <c r="A79" s="111" t="s">
        <v>953</v>
      </c>
      <c r="B79" s="112" t="s">
        <v>954</v>
      </c>
      <c r="C79" s="110"/>
      <c r="D79" s="116"/>
      <c r="E79" s="113">
        <f>IF(K79=L79,_xlfn.IFNA(VLOOKUP(I79,科目余额表!B:M,12,0),0),-_xlfn.IFNA(VLOOKUP(I79,科目余额表!B:M,12,0),0))</f>
        <v>0</v>
      </c>
      <c r="F79" s="1">
        <f>ROUND(SUMIF(本期ETY!D:D,B79,本期ETY!F:F),2)</f>
        <v>0</v>
      </c>
      <c r="G79" s="1">
        <f>ROUND(SUMIF(本期ETY!D:D,B79,本期ETY!G:G),2)</f>
        <v>0</v>
      </c>
      <c r="H79" s="114">
        <f>ROUND(E79-F79+G79,2)</f>
        <v>0</v>
      </c>
      <c r="I79" s="1" t="s">
        <v>955</v>
      </c>
      <c r="K79" s="1" t="s">
        <v>832</v>
      </c>
      <c r="L79" s="1" t="str">
        <f>_xlfn.IFNA(VLOOKUP(I79,科目余额表!B:M,11,0),K79)</f>
        <v>贷</v>
      </c>
    </row>
    <row r="80" spans="1:12">
      <c r="A80" s="111" t="s">
        <v>956</v>
      </c>
      <c r="B80" s="112"/>
      <c r="C80" s="110"/>
      <c r="D80" s="110"/>
      <c r="E80" s="110">
        <f>E77-E78-E79</f>
        <v>0</v>
      </c>
      <c r="F80" s="110">
        <f t="shared" ref="F80:G80" si="11">F77-F78-F79</f>
        <v>0</v>
      </c>
      <c r="G80" s="110">
        <f t="shared" si="11"/>
        <v>0</v>
      </c>
      <c r="H80" s="110">
        <f>H77-H78-H79</f>
        <v>0</v>
      </c>
      <c r="L80" s="1">
        <f>_xlfn.IFNA(VLOOKUP(I80,科目余额表!B:M,11,0),K80)</f>
        <v>0</v>
      </c>
    </row>
    <row r="81" spans="1:12">
      <c r="A81" s="111" t="s">
        <v>957</v>
      </c>
      <c r="B81" s="112" t="s">
        <v>958</v>
      </c>
      <c r="C81" s="110"/>
      <c r="D81" s="110"/>
      <c r="E81" s="113">
        <f>IF(K81=L81,_xlfn.IFNA(VLOOKUP(I81,科目余额表!B:M,12,0),0),-_xlfn.IFNA(VLOOKUP(I81,科目余额表!B:M,12,0),0))</f>
        <v>0</v>
      </c>
      <c r="F81" s="1">
        <f>ROUND(SUMIF(本期ETY!D:D,B81,本期ETY!F:F),2)</f>
        <v>0</v>
      </c>
      <c r="G81" s="1">
        <f>ROUND(SUMIF(本期ETY!D:D,B81,本期ETY!G:G),2)</f>
        <v>0</v>
      </c>
      <c r="H81" s="114">
        <f t="shared" ref="H81" si="12">ROUND(E81+F81-G81,2)</f>
        <v>0</v>
      </c>
      <c r="I81" s="1" t="s">
        <v>89</v>
      </c>
      <c r="K81" s="1" t="s">
        <v>810</v>
      </c>
      <c r="L81" s="1" t="str">
        <f>_xlfn.IFNA(VLOOKUP(I81,科目余额表!B:M,11,0),K81)</f>
        <v>借</v>
      </c>
    </row>
    <row r="82" spans="1:12">
      <c r="A82" s="111" t="s">
        <v>959</v>
      </c>
      <c r="B82" s="112" t="s">
        <v>960</v>
      </c>
      <c r="C82" s="110"/>
      <c r="D82" s="110"/>
      <c r="E82" s="113">
        <f>IF(K82=L82,_xlfn.IFNA(VLOOKUP(I82,科目余额表!B:M,12,0),0),-_xlfn.IFNA(VLOOKUP(I82,科目余额表!B:M,12,0),0))</f>
        <v>0</v>
      </c>
      <c r="F82" s="1">
        <f>ROUND(SUMIF(本期ETY!D:D,B82,本期ETY!F:F),2)</f>
        <v>0</v>
      </c>
      <c r="G82" s="1">
        <f>ROUND(SUMIF(本期ETY!D:D,B82,本期ETY!G:G),2)</f>
        <v>0</v>
      </c>
      <c r="H82" s="114">
        <f>ROUND(E82-F82+G82,2)</f>
        <v>0</v>
      </c>
      <c r="I82" s="1" t="s">
        <v>437</v>
      </c>
      <c r="K82" s="1" t="s">
        <v>832</v>
      </c>
      <c r="L82" s="1" t="str">
        <f>_xlfn.IFNA(VLOOKUP(I82,科目余额表!B:M,11,0),K82)</f>
        <v>贷</v>
      </c>
    </row>
    <row r="83" spans="1:12">
      <c r="A83" s="111" t="s">
        <v>961</v>
      </c>
      <c r="B83" s="112" t="s">
        <v>962</v>
      </c>
      <c r="C83" s="110"/>
      <c r="D83" s="110"/>
      <c r="E83" s="113">
        <f>IF(K83=L83,_xlfn.IFNA(VLOOKUP(I83,科目余额表!B:M,12,0),0),-_xlfn.IFNA(VLOOKUP(I83,科目余额表!B:M,12,0),0))</f>
        <v>0</v>
      </c>
      <c r="F83" s="1">
        <f>ROUND(SUMIF(本期ETY!D:D,B83,本期ETY!F:F),2)</f>
        <v>0</v>
      </c>
      <c r="G83" s="1">
        <f>ROUND(SUMIF(本期ETY!D:D,B83,本期ETY!G:G),2)</f>
        <v>0</v>
      </c>
      <c r="H83" s="114">
        <f>ROUND(E83-F83+G83,2)</f>
        <v>0</v>
      </c>
      <c r="I83" s="1" t="s">
        <v>747</v>
      </c>
      <c r="K83" s="1" t="s">
        <v>832</v>
      </c>
      <c r="L83" s="1" t="str">
        <f>_xlfn.IFNA(VLOOKUP(I83,科目余额表!B:M,11,0),K83)</f>
        <v>贷</v>
      </c>
    </row>
    <row r="84" spans="1:12">
      <c r="A84" s="111" t="s">
        <v>963</v>
      </c>
      <c r="B84" s="112"/>
      <c r="C84" s="110"/>
      <c r="D84" s="110"/>
      <c r="E84" s="110">
        <f>E81-E82-E83</f>
        <v>0</v>
      </c>
      <c r="F84" s="110">
        <f t="shared" ref="F84:G84" si="13">F81-F82-F83</f>
        <v>0</v>
      </c>
      <c r="G84" s="110">
        <f t="shared" si="13"/>
        <v>0</v>
      </c>
      <c r="H84" s="110">
        <f>H81-H82-H83</f>
        <v>0</v>
      </c>
      <c r="L84" s="1">
        <f>_xlfn.IFNA(VLOOKUP(I84,科目余额表!B:M,11,0),K84)</f>
        <v>0</v>
      </c>
    </row>
    <row r="85" spans="1:12">
      <c r="A85" s="111" t="s">
        <v>964</v>
      </c>
      <c r="B85" s="112" t="s">
        <v>965</v>
      </c>
      <c r="C85" s="110"/>
      <c r="D85" s="110"/>
      <c r="E85" s="113">
        <f>IF(K85=L85,_xlfn.IFNA(VLOOKUP(I85,科目余额表!B:M,12,0),0),-_xlfn.IFNA(VLOOKUP(I85,科目余额表!B:M,12,0),0))</f>
        <v>0</v>
      </c>
      <c r="F85" s="1">
        <f>ROUND(SUMIF(本期ETY!D:D,B85,本期ETY!F:F),2)</f>
        <v>0</v>
      </c>
      <c r="G85" s="1">
        <f>ROUND(SUMIF(本期ETY!D:D,B85,本期ETY!G:G),2)</f>
        <v>0</v>
      </c>
      <c r="H85" s="114">
        <f t="shared" ref="H85:H92" si="14">ROUND(E85+F85-G85,2)</f>
        <v>0</v>
      </c>
      <c r="I85" s="1" t="s">
        <v>433</v>
      </c>
      <c r="K85" s="1" t="s">
        <v>810</v>
      </c>
      <c r="L85" s="1" t="str">
        <f>_xlfn.IFNA(VLOOKUP(I85,科目余额表!B:M,11,0),K85)</f>
        <v>借</v>
      </c>
    </row>
    <row r="86" spans="1:12">
      <c r="A86" s="111" t="s">
        <v>4597</v>
      </c>
      <c r="B86" s="112" t="s">
        <v>423</v>
      </c>
      <c r="C86" s="110"/>
      <c r="D86" s="110"/>
      <c r="E86" s="113">
        <f>IF(K86=L86,_xlfn.IFNA(VLOOKUP(I86,科目余额表!B:M,12,0),0),-_xlfn.IFNA(VLOOKUP(I86,科目余额表!B:M,12,0),0))</f>
        <v>0</v>
      </c>
      <c r="F86" s="1">
        <f>ROUND(SUMIF(本期ETY!D:D,B86,本期ETY!F:F),2)</f>
        <v>0</v>
      </c>
      <c r="G86" s="1">
        <f>ROUND(SUMIF(本期ETY!D:D,B86,本期ETY!G:G),2)</f>
        <v>0</v>
      </c>
      <c r="H86" s="114">
        <f t="shared" si="14"/>
        <v>0</v>
      </c>
      <c r="I86" s="1" t="s">
        <v>423</v>
      </c>
      <c r="K86" s="1" t="s">
        <v>792</v>
      </c>
      <c r="L86" s="1" t="str">
        <f>_xlfn.IFNA(VLOOKUP(I86,科目余额表!B:M,11,0),K86)</f>
        <v>借</v>
      </c>
    </row>
    <row r="87" spans="1:12">
      <c r="A87" s="111" t="s">
        <v>4598</v>
      </c>
      <c r="B87" s="112" t="s">
        <v>748</v>
      </c>
      <c r="C87" s="110"/>
      <c r="D87" s="110"/>
      <c r="E87" s="113">
        <f>IF(K87=L87,_xlfn.IFNA(VLOOKUP(I87,科目余额表!B:M,12,0),0),-_xlfn.IFNA(VLOOKUP(I87,科目余额表!B:M,12,0),0))</f>
        <v>0</v>
      </c>
      <c r="F87" s="1">
        <f>ROUND(SUMIF(本期ETY!D:D,B87,本期ETY!F:F),2)</f>
        <v>0</v>
      </c>
      <c r="G87" s="1">
        <f>ROUND(SUMIF(本期ETY!D:D,B87,本期ETY!G:G),2)</f>
        <v>0</v>
      </c>
      <c r="H87" s="114">
        <f>ROUND(E87-F87+G87,2)</f>
        <v>0</v>
      </c>
      <c r="I87" s="1" t="s">
        <v>748</v>
      </c>
      <c r="K87" s="1" t="s">
        <v>793</v>
      </c>
      <c r="L87" s="1" t="str">
        <f>_xlfn.IFNA(VLOOKUP(I87,科目余额表!B:M,11,0),K87)</f>
        <v>贷</v>
      </c>
    </row>
    <row r="88" spans="1:12">
      <c r="A88" s="111" t="s">
        <v>4599</v>
      </c>
      <c r="B88" s="112"/>
      <c r="C88" s="110"/>
      <c r="D88" s="110"/>
      <c r="E88" s="113">
        <f>E86-E87</f>
        <v>0</v>
      </c>
      <c r="F88" s="1">
        <f>ROUND(SUMIF(本期ETY!D:D,B88,本期ETY!F:F),2)</f>
        <v>0</v>
      </c>
      <c r="G88" s="1">
        <f>ROUND(SUMIF(本期ETY!D:D,B88,本期ETY!G:G),2)</f>
        <v>0</v>
      </c>
      <c r="H88" s="114">
        <f>H86-H87</f>
        <v>0</v>
      </c>
      <c r="K88" s="1" t="s">
        <v>792</v>
      </c>
      <c r="L88" s="1" t="str">
        <f>_xlfn.IFNA(VLOOKUP(I88,科目余额表!B:M,11,0),K88)</f>
        <v>借</v>
      </c>
    </row>
    <row r="89" spans="1:12">
      <c r="A89" s="111" t="s">
        <v>967</v>
      </c>
      <c r="B89" s="112" t="s">
        <v>968</v>
      </c>
      <c r="C89" s="110"/>
      <c r="D89" s="110"/>
      <c r="E89" s="113">
        <f>IF(K89=L89,_xlfn.IFNA(VLOOKUP(I89,科目余额表!B:M,12,0),0),-_xlfn.IFNA(VLOOKUP(I89,科目余额表!B:M,12,0),0))</f>
        <v>0</v>
      </c>
      <c r="F89" s="1">
        <f>ROUND(SUMIF(本期ETY!D:D,B89,本期ETY!F:F),2)</f>
        <v>0</v>
      </c>
      <c r="G89" s="1">
        <f>ROUND(SUMIF(本期ETY!D:D,B89,本期ETY!G:G),2)</f>
        <v>0</v>
      </c>
      <c r="H89" s="114">
        <f t="shared" si="14"/>
        <v>0</v>
      </c>
      <c r="I89" s="1" t="s">
        <v>444</v>
      </c>
      <c r="K89" s="1" t="s">
        <v>810</v>
      </c>
      <c r="L89" s="1" t="str">
        <f>_xlfn.IFNA(VLOOKUP(I89,科目余额表!B:M,11,0),K89)</f>
        <v>借</v>
      </c>
    </row>
    <row r="90" spans="1:12">
      <c r="A90" s="111" t="s">
        <v>969</v>
      </c>
      <c r="B90" s="112" t="s">
        <v>970</v>
      </c>
      <c r="C90" s="110"/>
      <c r="D90" s="110"/>
      <c r="E90" s="113">
        <f>IF(K90=L90,_xlfn.IFNA(VLOOKUP(I90,科目余额表!B:M,12,0),0),-_xlfn.IFNA(VLOOKUP(I90,科目余额表!B:M,12,0),0))</f>
        <v>0</v>
      </c>
      <c r="F90" s="1">
        <f>ROUND(SUMIF(本期ETY!D:D,B90,本期ETY!F:F),2)</f>
        <v>0</v>
      </c>
      <c r="G90" s="1">
        <f>ROUND(SUMIF(本期ETY!D:D,B90,本期ETY!G:G),2)</f>
        <v>0</v>
      </c>
      <c r="H90" s="114">
        <f t="shared" si="14"/>
        <v>0</v>
      </c>
      <c r="I90" s="1" t="s">
        <v>970</v>
      </c>
      <c r="K90" s="1" t="s">
        <v>810</v>
      </c>
      <c r="L90" s="1" t="str">
        <f>_xlfn.IFNA(VLOOKUP(I90,科目余额表!B:M,11,0),K90)</f>
        <v>借</v>
      </c>
    </row>
    <row r="91" spans="1:12">
      <c r="A91" s="111" t="s">
        <v>971</v>
      </c>
      <c r="B91" s="112" t="s">
        <v>972</v>
      </c>
      <c r="C91" s="110"/>
      <c r="D91" s="110"/>
      <c r="E91" s="113">
        <f>IF(K91=L91,_xlfn.IFNA(VLOOKUP(I91,科目余额表!B:M,12,0),0),-_xlfn.IFNA(VLOOKUP(I91,科目余额表!B:M,12,0),0))</f>
        <v>0</v>
      </c>
      <c r="F91" s="1">
        <f>ROUND(SUMIF(本期ETY!D:D,B91,本期ETY!F:F),2)</f>
        <v>0</v>
      </c>
      <c r="G91" s="1">
        <f>ROUND(SUMIF(本期ETY!D:D,B91,本期ETY!G:G),2)</f>
        <v>0</v>
      </c>
      <c r="H91" s="114">
        <f t="shared" si="14"/>
        <v>0</v>
      </c>
      <c r="I91" s="1" t="s">
        <v>972</v>
      </c>
      <c r="K91" s="1" t="s">
        <v>810</v>
      </c>
      <c r="L91" s="1" t="str">
        <f>_xlfn.IFNA(VLOOKUP(I91,科目余额表!B:M,11,0),K91)</f>
        <v>借</v>
      </c>
    </row>
    <row r="92" spans="1:12">
      <c r="A92" s="111" t="s">
        <v>973</v>
      </c>
      <c r="B92" s="112" t="s">
        <v>974</v>
      </c>
      <c r="C92" s="110"/>
      <c r="D92" s="110"/>
      <c r="E92" s="113">
        <f>IF(K92=L92,_xlfn.IFNA(VLOOKUP(I92,科目余额表!B:M,12,0),0),-_xlfn.IFNA(VLOOKUP(I92,科目余额表!B:M,12,0),0))</f>
        <v>0</v>
      </c>
      <c r="F92" s="1">
        <f>ROUND(SUMIF(本期ETY!D:D,B92,本期ETY!F:F),2)</f>
        <v>0</v>
      </c>
      <c r="G92" s="1">
        <f>ROUND(SUMIF(本期ETY!D:D,B92,本期ETY!G:G),2)</f>
        <v>0</v>
      </c>
      <c r="H92" s="114">
        <f t="shared" si="14"/>
        <v>0</v>
      </c>
      <c r="I92" s="1" t="s">
        <v>91</v>
      </c>
      <c r="K92" s="1" t="s">
        <v>810</v>
      </c>
      <c r="L92" s="1" t="str">
        <f>_xlfn.IFNA(VLOOKUP(I92,科目余额表!B:M,11,0),K92)</f>
        <v>借</v>
      </c>
    </row>
    <row r="93" spans="1:12">
      <c r="A93" s="111" t="s">
        <v>975</v>
      </c>
      <c r="B93" s="112" t="s">
        <v>976</v>
      </c>
      <c r="C93" s="110"/>
      <c r="D93" s="110"/>
      <c r="E93" s="113">
        <f>IF(K93=L93,_xlfn.IFNA(VLOOKUP(I93,科目余额表!B:M,12,0),0),-_xlfn.IFNA(VLOOKUP(I93,科目余额表!B:M,12,0),0))</f>
        <v>0</v>
      </c>
      <c r="F93" s="1">
        <f>ROUND(SUMIF(本期ETY!D:D,B93,本期ETY!F:F),2)</f>
        <v>0</v>
      </c>
      <c r="G93" s="1">
        <f>ROUND(SUMIF(本期ETY!D:D,B93,本期ETY!G:G),2)</f>
        <v>0</v>
      </c>
      <c r="H93" s="114">
        <f>ROUND(E93-F93+G93,2)</f>
        <v>0</v>
      </c>
      <c r="I93" s="1" t="s">
        <v>977</v>
      </c>
      <c r="K93" s="1" t="s">
        <v>832</v>
      </c>
      <c r="L93" s="1" t="str">
        <f>_xlfn.IFNA(VLOOKUP(I93,科目余额表!B:M,11,0),K93)</f>
        <v>贷</v>
      </c>
    </row>
    <row r="94" spans="1:12">
      <c r="A94" s="111" t="s">
        <v>978</v>
      </c>
      <c r="B94" s="112" t="s">
        <v>979</v>
      </c>
      <c r="C94" s="110"/>
      <c r="D94" s="110"/>
      <c r="E94" s="113">
        <f>IF(K94=L94,_xlfn.IFNA(VLOOKUP(I94,科目余额表!B:M,12,0),0),-_xlfn.IFNA(VLOOKUP(I94,科目余额表!B:M,12,0),0))</f>
        <v>0</v>
      </c>
      <c r="F94" s="1">
        <f>ROUND(SUMIF(本期ETY!D:D,B94,本期ETY!F:F),2)</f>
        <v>0</v>
      </c>
      <c r="G94" s="1">
        <f>ROUND(SUMIF(本期ETY!D:D,B94,本期ETY!G:G),2)</f>
        <v>0</v>
      </c>
      <c r="H94" s="114">
        <f>ROUND(E94-F94+G94,2)</f>
        <v>0</v>
      </c>
      <c r="I94" s="1" t="s">
        <v>980</v>
      </c>
      <c r="K94" s="1" t="s">
        <v>832</v>
      </c>
      <c r="L94" s="1" t="str">
        <f>_xlfn.IFNA(VLOOKUP(I94,科目余额表!B:M,11,0),K94)</f>
        <v>贷</v>
      </c>
    </row>
    <row r="95" spans="1:12">
      <c r="A95" s="111" t="s">
        <v>981</v>
      </c>
      <c r="B95" s="112"/>
      <c r="C95" s="110"/>
      <c r="D95" s="116" t="s">
        <v>823</v>
      </c>
      <c r="E95" s="110">
        <f>E92-E93-E94</f>
        <v>0</v>
      </c>
      <c r="F95" s="110">
        <f t="shared" ref="F95:H95" si="15">F92-F93-F94</f>
        <v>0</v>
      </c>
      <c r="G95" s="110">
        <f t="shared" si="15"/>
        <v>0</v>
      </c>
      <c r="H95" s="110">
        <f t="shared" si="15"/>
        <v>0</v>
      </c>
      <c r="L95" s="1">
        <f>_xlfn.IFNA(VLOOKUP(I95,科目余额表!B:M,11,0),K95)</f>
        <v>0</v>
      </c>
    </row>
    <row r="96" spans="1:12">
      <c r="A96" s="111" t="s">
        <v>982</v>
      </c>
      <c r="B96" s="112" t="s">
        <v>983</v>
      </c>
      <c r="C96" s="110"/>
      <c r="D96" s="116"/>
      <c r="E96" s="113">
        <f>IF(K96=L96,_xlfn.IFNA(VLOOKUP(I96,科目余额表!B:M,12,0),0),-_xlfn.IFNA(VLOOKUP(I96,科目余额表!B:M,12,0),0))</f>
        <v>0</v>
      </c>
      <c r="F96" s="1">
        <f>ROUND(SUMIF(本期ETY!D:D,B96,本期ETY!F:F),2)</f>
        <v>0</v>
      </c>
      <c r="G96" s="1">
        <f>ROUND(SUMIF(本期ETY!D:D,B96,本期ETY!G:G),2)</f>
        <v>0</v>
      </c>
      <c r="H96" s="114">
        <f t="shared" ref="H96" si="16">ROUND(E96+F96-G96,2)</f>
        <v>0</v>
      </c>
      <c r="I96" s="1" t="s">
        <v>90</v>
      </c>
      <c r="K96" s="1" t="s">
        <v>810</v>
      </c>
      <c r="L96" s="1" t="str">
        <f>_xlfn.IFNA(VLOOKUP(I96,科目余额表!B:M,11,0),K96)</f>
        <v>借</v>
      </c>
    </row>
    <row r="97" spans="1:12">
      <c r="A97" s="111" t="s">
        <v>984</v>
      </c>
      <c r="B97" s="112" t="s">
        <v>985</v>
      </c>
      <c r="C97" s="110"/>
      <c r="D97" s="116"/>
      <c r="E97" s="113">
        <f>IF(K97=L97,_xlfn.IFNA(VLOOKUP(I97,科目余额表!B:M,12,0),0),-_xlfn.IFNA(VLOOKUP(I97,科目余额表!B:M,12,0),0))</f>
        <v>0</v>
      </c>
      <c r="F97" s="1">
        <f>ROUND(SUMIF(本期ETY!D:D,B97,本期ETY!F:F),2)</f>
        <v>0</v>
      </c>
      <c r="G97" s="1">
        <f>ROUND(SUMIF(本期ETY!D:D,B97,本期ETY!G:G),2)</f>
        <v>0</v>
      </c>
      <c r="H97" s="114">
        <f>ROUND(E97-F97+G97,2)</f>
        <v>0</v>
      </c>
      <c r="I97" s="1" t="s">
        <v>749</v>
      </c>
      <c r="K97" s="1" t="s">
        <v>832</v>
      </c>
      <c r="L97" s="1" t="str">
        <f>_xlfn.IFNA(VLOOKUP(I97,科目余额表!B:M,11,0),K97)</f>
        <v>贷</v>
      </c>
    </row>
    <row r="98" spans="1:12">
      <c r="A98" s="111" t="s">
        <v>986</v>
      </c>
      <c r="B98" s="112" t="s">
        <v>987</v>
      </c>
      <c r="C98" s="110"/>
      <c r="D98" s="116"/>
      <c r="E98" s="113">
        <f>IF(K98=L98,_xlfn.IFNA(VLOOKUP(I98,科目余额表!B:M,12,0),0),-_xlfn.IFNA(VLOOKUP(I98,科目余额表!B:M,12,0),0))</f>
        <v>0</v>
      </c>
      <c r="F98" s="1">
        <f>ROUND(SUMIF(本期ETY!D:D,B98,本期ETY!F:F),2)</f>
        <v>0</v>
      </c>
      <c r="G98" s="1">
        <f>ROUND(SUMIF(本期ETY!D:D,B98,本期ETY!G:G),2)</f>
        <v>0</v>
      </c>
      <c r="H98" s="114">
        <f>ROUND(E98-F98+G98,2)</f>
        <v>0</v>
      </c>
      <c r="I98" s="1" t="s">
        <v>988</v>
      </c>
      <c r="K98" s="1" t="s">
        <v>832</v>
      </c>
      <c r="L98" s="1" t="str">
        <f>_xlfn.IFNA(VLOOKUP(I98,科目余额表!B:M,11,0),K98)</f>
        <v>贷</v>
      </c>
    </row>
    <row r="99" spans="1:12">
      <c r="A99" s="111" t="s">
        <v>989</v>
      </c>
      <c r="B99" s="112"/>
      <c r="C99" s="110"/>
      <c r="D99" s="110"/>
      <c r="E99" s="110">
        <f>E96-E97-E98</f>
        <v>0</v>
      </c>
      <c r="F99" s="110">
        <f t="shared" ref="F99:H99" si="17">F96-F97-F98</f>
        <v>0</v>
      </c>
      <c r="G99" s="110">
        <f t="shared" si="17"/>
        <v>0</v>
      </c>
      <c r="H99" s="110">
        <f t="shared" si="17"/>
        <v>0</v>
      </c>
      <c r="L99" s="1">
        <f>_xlfn.IFNA(VLOOKUP(I99,科目余额表!B:M,11,0),K99)</f>
        <v>0</v>
      </c>
    </row>
    <row r="100" spans="1:12">
      <c r="A100" s="111" t="s">
        <v>990</v>
      </c>
      <c r="B100" s="112" t="s">
        <v>991</v>
      </c>
      <c r="C100" s="110"/>
      <c r="D100" s="110"/>
      <c r="E100" s="113">
        <f>IF(K100=L100,_xlfn.IFNA(VLOOKUP(I100,科目余额表!B:M,12,0),0),-_xlfn.IFNA(VLOOKUP(I100,科目余额表!B:M,12,0),0))</f>
        <v>0</v>
      </c>
      <c r="F100" s="1">
        <f>ROUND(SUMIF(本期ETY!D:D,B100,本期ETY!F:F),2)</f>
        <v>0</v>
      </c>
      <c r="G100" s="1">
        <f>ROUND(SUMIF(本期ETY!D:D,B100,本期ETY!G:G),2)</f>
        <v>0</v>
      </c>
      <c r="H100" s="114">
        <f t="shared" ref="H100:H101" si="18">ROUND(E100+F100-G100,2)</f>
        <v>0</v>
      </c>
      <c r="I100" s="1" t="s">
        <v>991</v>
      </c>
      <c r="K100" s="1" t="s">
        <v>810</v>
      </c>
      <c r="L100" s="1" t="str">
        <f>_xlfn.IFNA(VLOOKUP(I100,科目余额表!B:M,11,0),K100)</f>
        <v>借</v>
      </c>
    </row>
    <row r="101" spans="1:12">
      <c r="A101" s="111" t="s">
        <v>992</v>
      </c>
      <c r="B101" s="112" t="s">
        <v>993</v>
      </c>
      <c r="C101" s="110"/>
      <c r="D101" s="110"/>
      <c r="E101" s="113">
        <f>IF(K101=L101,_xlfn.IFNA(VLOOKUP(I101,科目余额表!B:M,12,0),0),-_xlfn.IFNA(VLOOKUP(I101,科目余额表!B:M,12,0),0))</f>
        <v>0</v>
      </c>
      <c r="F101" s="1">
        <f>ROUND(SUMIF(本期ETY!D:D,B101,本期ETY!F:F),2)</f>
        <v>0</v>
      </c>
      <c r="G101" s="1">
        <f>ROUND(SUMIF(本期ETY!D:D,B101,本期ETY!G:G),2)</f>
        <v>0</v>
      </c>
      <c r="H101" s="114">
        <f t="shared" si="18"/>
        <v>0</v>
      </c>
      <c r="I101" s="1" t="s">
        <v>994</v>
      </c>
      <c r="K101" s="1" t="s">
        <v>810</v>
      </c>
      <c r="L101" s="1" t="str">
        <f>_xlfn.IFNA(VLOOKUP(I101,科目余额表!B:M,11,0),K101)</f>
        <v>借</v>
      </c>
    </row>
    <row r="102" spans="1:12">
      <c r="A102" s="111" t="s">
        <v>995</v>
      </c>
      <c r="B102" s="112" t="s">
        <v>996</v>
      </c>
      <c r="C102" s="110"/>
      <c r="D102" s="110"/>
      <c r="E102" s="113">
        <f>IF(K102=L102,_xlfn.IFNA(VLOOKUP(I102,科目余额表!B:M,12,0),0),-_xlfn.IFNA(VLOOKUP(I102,科目余额表!B:M,12,0),0))</f>
        <v>0</v>
      </c>
      <c r="F102" s="1">
        <f>ROUND(SUMIF(本期ETY!D:D,B102,本期ETY!F:F),2)</f>
        <v>0</v>
      </c>
      <c r="G102" s="1">
        <f>ROUND(SUMIF(本期ETY!D:D,B102,本期ETY!G:G),2)</f>
        <v>0</v>
      </c>
      <c r="H102" s="114">
        <f>ROUND(E102-F102+G102,2)</f>
        <v>0</v>
      </c>
      <c r="I102" s="1" t="s">
        <v>997</v>
      </c>
      <c r="K102" s="1" t="s">
        <v>832</v>
      </c>
      <c r="L102" s="1" t="str">
        <f>_xlfn.IFNA(VLOOKUP(I102,科目余额表!B:M,11,0),K102)</f>
        <v>贷</v>
      </c>
    </row>
    <row r="103" spans="1:12">
      <c r="A103" s="111" t="s">
        <v>998</v>
      </c>
      <c r="B103" s="112"/>
      <c r="C103" s="110"/>
      <c r="D103" s="110"/>
      <c r="E103" s="110">
        <f>E101-E102</f>
        <v>0</v>
      </c>
      <c r="F103" s="110">
        <f t="shared" ref="F103:H103" si="19">F101-F102</f>
        <v>0</v>
      </c>
      <c r="G103" s="110">
        <f t="shared" si="19"/>
        <v>0</v>
      </c>
      <c r="H103" s="110">
        <f t="shared" si="19"/>
        <v>0</v>
      </c>
      <c r="L103" s="1">
        <f>_xlfn.IFNA(VLOOKUP(I103,科目余额表!B:M,11,0),K103)</f>
        <v>0</v>
      </c>
    </row>
    <row r="104" spans="1:12">
      <c r="A104" s="111" t="s">
        <v>999</v>
      </c>
      <c r="B104" s="112" t="s">
        <v>750</v>
      </c>
      <c r="C104" s="110"/>
      <c r="D104" s="110"/>
      <c r="E104" s="113">
        <f>IF(K104=L104,_xlfn.IFNA(VLOOKUP(I104,科目余额表!B:M,12,0),0),-_xlfn.IFNA(VLOOKUP(I104,科目余额表!B:M,12,0),0))</f>
        <v>0</v>
      </c>
      <c r="F104" s="1">
        <f>ROUND(SUMIF(本期ETY!D:D,B104,本期ETY!F:F),2)</f>
        <v>0</v>
      </c>
      <c r="G104" s="1">
        <f>ROUND(SUMIF(本期ETY!D:D,B104,本期ETY!G:G),2)</f>
        <v>0</v>
      </c>
      <c r="H104" s="114">
        <f t="shared" ref="H104:H106" si="20">ROUND(E104+F104-G104,2)</f>
        <v>0</v>
      </c>
      <c r="I104" s="1" t="s">
        <v>750</v>
      </c>
      <c r="K104" s="1" t="s">
        <v>810</v>
      </c>
      <c r="L104" s="1" t="str">
        <f>_xlfn.IFNA(VLOOKUP(I104,科目余额表!B:M,11,0),K104)</f>
        <v>借</v>
      </c>
    </row>
    <row r="105" spans="1:12">
      <c r="A105" s="111" t="s">
        <v>1000</v>
      </c>
      <c r="B105" s="112" t="s">
        <v>751</v>
      </c>
      <c r="C105" s="110"/>
      <c r="D105" s="110"/>
      <c r="E105" s="113">
        <f>IF(K105=L105,_xlfn.IFNA(VLOOKUP(I105,科目余额表!B:M,12,0),0),-_xlfn.IFNA(VLOOKUP(I105,科目余额表!B:M,12,0),0))</f>
        <v>0</v>
      </c>
      <c r="F105" s="1">
        <f>ROUND(SUMIF(本期ETY!D:D,B105,本期ETY!F:F),2)</f>
        <v>0</v>
      </c>
      <c r="G105" s="1">
        <f>ROUND(SUMIF(本期ETY!D:D,B105,本期ETY!G:G),2)</f>
        <v>0</v>
      </c>
      <c r="H105" s="114">
        <f t="shared" si="20"/>
        <v>0</v>
      </c>
      <c r="I105" s="1" t="s">
        <v>751</v>
      </c>
      <c r="K105" s="1" t="s">
        <v>810</v>
      </c>
      <c r="L105" s="1" t="str">
        <f>_xlfn.IFNA(VLOOKUP(I105,科目余额表!B:M,11,0),K105)</f>
        <v>借</v>
      </c>
    </row>
    <row r="106" spans="1:12">
      <c r="A106" s="111" t="s">
        <v>1001</v>
      </c>
      <c r="B106" s="112" t="s">
        <v>80</v>
      </c>
      <c r="C106" s="110"/>
      <c r="D106" s="110"/>
      <c r="E106" s="113">
        <f>IF(K106=L106,_xlfn.IFNA(VLOOKUP(I106,科目余额表!B:M,12,0),0),-_xlfn.IFNA(VLOOKUP(I106,科目余额表!B:M,12,0),0))</f>
        <v>0</v>
      </c>
      <c r="F106" s="1">
        <f>ROUND(SUMIF(本期ETY!D:D,B106,本期ETY!F:F),2)</f>
        <v>0</v>
      </c>
      <c r="G106" s="1">
        <f>ROUND(SUMIF(本期ETY!D:D,B106,本期ETY!G:G),2)</f>
        <v>0</v>
      </c>
      <c r="H106" s="114">
        <f t="shared" si="20"/>
        <v>0</v>
      </c>
      <c r="I106" s="1" t="s">
        <v>1002</v>
      </c>
      <c r="K106" s="1" t="s">
        <v>810</v>
      </c>
      <c r="L106" s="1" t="str">
        <f>_xlfn.IFNA(VLOOKUP(I106,科目余额表!B:M,11,0),K106)</f>
        <v>借</v>
      </c>
    </row>
    <row r="107" spans="1:12">
      <c r="A107" s="119" t="s">
        <v>1003</v>
      </c>
      <c r="B107" s="112"/>
      <c r="C107" s="118"/>
      <c r="D107" s="118"/>
      <c r="E107" s="120">
        <f>E59+E62+E63+E66+E67+E71+E74+E75+E76+E80+E84+E88+E90+E91+E95+E99+E100+E103+E104+E105+E106+E85+E89</f>
        <v>0</v>
      </c>
      <c r="F107" s="110">
        <f>F59+F62+F63+F66+F67+F71+F74+F75+F76+F80+F84+F88+F90+F91+F95+F99+F100+F103+F104+F105+F106+F85+F89</f>
        <v>0</v>
      </c>
      <c r="G107" s="110">
        <f>G59+G62+G63+G66+G67+G71+G74+G75+G76+G80+G84+G88+G90+G91+G95+G99+G100+G103+G104+G105+G106+G85+G89</f>
        <v>0</v>
      </c>
      <c r="H107" s="120">
        <f>H59+H62+H63+H66+H67+H71+H74+H75+H76+H80+H84+H88+H90+H91+H95+H99+H100+H103+H104+H105+H106+H85+H89</f>
        <v>0</v>
      </c>
      <c r="L107" s="1">
        <f>_xlfn.IFNA(VLOOKUP(I107,科目余额表!B:M,11,0),K107)</f>
        <v>0</v>
      </c>
    </row>
    <row r="108" spans="1:12">
      <c r="A108" s="119" t="s">
        <v>1004</v>
      </c>
      <c r="B108" s="112"/>
      <c r="C108" s="110"/>
      <c r="D108" s="110"/>
      <c r="E108" s="120">
        <f>E107+E57</f>
        <v>0</v>
      </c>
      <c r="F108" s="110">
        <f>F107+F57</f>
        <v>0</v>
      </c>
      <c r="G108" s="110">
        <f>G107+G57</f>
        <v>0</v>
      </c>
      <c r="H108" s="120">
        <f>H107+H57</f>
        <v>0</v>
      </c>
      <c r="L108" s="1">
        <f>_xlfn.IFNA(VLOOKUP(I108,科目余额表!B:M,11,0),K108)</f>
        <v>0</v>
      </c>
    </row>
    <row r="109" spans="1:12">
      <c r="A109" s="121" t="s">
        <v>1005</v>
      </c>
      <c r="B109" s="112"/>
      <c r="C109" s="110"/>
      <c r="D109" s="110"/>
      <c r="E109" s="110"/>
      <c r="L109" s="1">
        <f>_xlfn.IFNA(VLOOKUP(I109,科目余额表!B:M,11,0),K109)</f>
        <v>0</v>
      </c>
    </row>
    <row r="110" spans="1:12">
      <c r="A110" s="122" t="s">
        <v>1006</v>
      </c>
      <c r="B110" s="112" t="s">
        <v>735</v>
      </c>
      <c r="C110" s="110"/>
      <c r="D110" s="110"/>
      <c r="E110" s="113">
        <f>IF(K110=L110,_xlfn.IFNA(VLOOKUP(I110,科目余额表!B:M,12,0),0),-_xlfn.IFNA(VLOOKUP(I110,科目余额表!B:M,12,0),0))</f>
        <v>0</v>
      </c>
      <c r="F110" s="1">
        <f>ROUND(SUMIF(本期ETY!D:D,B110,本期ETY!F:F),2)</f>
        <v>0</v>
      </c>
      <c r="G110" s="1">
        <f>ROUND(SUMIF(本期ETY!D:D,B110,本期ETY!G:G),2)</f>
        <v>0</v>
      </c>
      <c r="H110" s="114">
        <f>ROUND(E110-F110+G110,2)</f>
        <v>0</v>
      </c>
      <c r="I110" s="1" t="s">
        <v>735</v>
      </c>
      <c r="K110" s="1" t="s">
        <v>832</v>
      </c>
      <c r="L110" s="1" t="str">
        <f>_xlfn.IFNA(VLOOKUP(I110,科目余额表!B:M,11,0),K110)</f>
        <v>贷</v>
      </c>
    </row>
    <row r="111" spans="1:12">
      <c r="A111" s="122" t="s">
        <v>1007</v>
      </c>
      <c r="B111" s="112" t="s">
        <v>1008</v>
      </c>
      <c r="C111" s="110"/>
      <c r="D111" s="110"/>
      <c r="E111" s="113">
        <f>IF(K111=L111,_xlfn.IFNA(VLOOKUP(I111,科目余额表!B:M,12,0),0),-_xlfn.IFNA(VLOOKUP(I111,科目余额表!B:M,12,0),0))</f>
        <v>0</v>
      </c>
      <c r="F111" s="1">
        <f>ROUND(SUMIF(本期ETY!D:D,B111,本期ETY!F:F),2)</f>
        <v>0</v>
      </c>
      <c r="G111" s="1">
        <f>ROUND(SUMIF(本期ETY!D:D,B111,本期ETY!G:G),2)</f>
        <v>0</v>
      </c>
      <c r="H111" s="114">
        <f t="shared" ref="H111:H134" si="21">ROUND(E111-F111+G111,2)</f>
        <v>0</v>
      </c>
      <c r="I111" s="1" t="s">
        <v>1008</v>
      </c>
      <c r="K111" s="1" t="s">
        <v>832</v>
      </c>
      <c r="L111" s="1" t="str">
        <f>_xlfn.IFNA(VLOOKUP(I111,科目余额表!B:M,11,0),K111)</f>
        <v>贷</v>
      </c>
    </row>
    <row r="112" spans="1:12">
      <c r="A112" s="122" t="s">
        <v>1009</v>
      </c>
      <c r="B112" s="112" t="s">
        <v>1010</v>
      </c>
      <c r="C112" s="110"/>
      <c r="D112" s="110"/>
      <c r="E112" s="113">
        <f>IF(K112=L112,_xlfn.IFNA(VLOOKUP(I112,科目余额表!B:M,12,0),0),-_xlfn.IFNA(VLOOKUP(I112,科目余额表!B:M,12,0),0))</f>
        <v>0</v>
      </c>
      <c r="F112" s="1">
        <f>ROUND(SUMIF(本期ETY!D:D,B112,本期ETY!F:F),2)</f>
        <v>0</v>
      </c>
      <c r="G112" s="1">
        <f>ROUND(SUMIF(本期ETY!D:D,B112,本期ETY!G:G),2)</f>
        <v>0</v>
      </c>
      <c r="H112" s="114">
        <f t="shared" si="21"/>
        <v>0</v>
      </c>
      <c r="I112" s="1" t="s">
        <v>1010</v>
      </c>
      <c r="K112" s="1" t="s">
        <v>832</v>
      </c>
      <c r="L112" s="1" t="str">
        <f>_xlfn.IFNA(VLOOKUP(I112,科目余额表!B:M,11,0),K112)</f>
        <v>贷</v>
      </c>
    </row>
    <row r="113" spans="1:12">
      <c r="A113" s="123" t="s">
        <v>1011</v>
      </c>
      <c r="B113" s="112" t="s">
        <v>496</v>
      </c>
      <c r="C113" s="110"/>
      <c r="D113" s="116" t="s">
        <v>823</v>
      </c>
      <c r="E113" s="113">
        <f>IF(K113=L113,_xlfn.IFNA(VLOOKUP(I113,科目余额表!B:M,12,0),0),-_xlfn.IFNA(VLOOKUP(I113,科目余额表!B:M,12,0),0))</f>
        <v>0</v>
      </c>
      <c r="F113" s="1">
        <f>ROUND(SUMIF(本期ETY!D:D,B113,本期ETY!F:F),2)</f>
        <v>0</v>
      </c>
      <c r="G113" s="1">
        <f>ROUND(SUMIF(本期ETY!D:D,B113,本期ETY!G:G),2)</f>
        <v>0</v>
      </c>
      <c r="H113" s="114">
        <f t="shared" si="21"/>
        <v>0</v>
      </c>
      <c r="I113" s="1" t="s">
        <v>496</v>
      </c>
      <c r="K113" s="1" t="s">
        <v>832</v>
      </c>
      <c r="L113" s="1" t="str">
        <f>_xlfn.IFNA(VLOOKUP(I113,科目余额表!B:M,11,0),K113)</f>
        <v>贷</v>
      </c>
    </row>
    <row r="114" spans="1:12">
      <c r="A114" s="123" t="s">
        <v>1012</v>
      </c>
      <c r="B114" s="112" t="s">
        <v>1013</v>
      </c>
      <c r="C114" s="116" t="s">
        <v>825</v>
      </c>
      <c r="D114" s="116"/>
      <c r="E114" s="113">
        <f>IF(K114=L114,_xlfn.IFNA(VLOOKUP(I114,科目余额表!B:M,12,0),0),-_xlfn.IFNA(VLOOKUP(I114,科目余额表!B:M,12,0),0))</f>
        <v>0</v>
      </c>
      <c r="F114" s="1">
        <f>ROUND(SUMIF(本期ETY!D:D,B114,本期ETY!F:F),2)</f>
        <v>0</v>
      </c>
      <c r="G114" s="1">
        <f>ROUND(SUMIF(本期ETY!D:D,B114,本期ETY!G:G),2)</f>
        <v>0</v>
      </c>
      <c r="H114" s="114">
        <f t="shared" si="21"/>
        <v>0</v>
      </c>
      <c r="I114" s="1" t="s">
        <v>1013</v>
      </c>
      <c r="K114" s="1" t="s">
        <v>832</v>
      </c>
      <c r="L114" s="1" t="str">
        <f>_xlfn.IFNA(VLOOKUP(I114,科目余额表!B:M,11,0),K114)</f>
        <v>贷</v>
      </c>
    </row>
    <row r="115" spans="1:12">
      <c r="A115" s="122" t="s">
        <v>1014</v>
      </c>
      <c r="B115" s="112" t="s">
        <v>1015</v>
      </c>
      <c r="C115" s="110"/>
      <c r="D115" s="110"/>
      <c r="E115" s="113">
        <f>IF(K115=L115,_xlfn.IFNA(VLOOKUP(I115,科目余额表!B:M,12,0),0),-_xlfn.IFNA(VLOOKUP(I115,科目余额表!B:M,12,0),0))</f>
        <v>0</v>
      </c>
      <c r="F115" s="1">
        <f>ROUND(SUMIF(本期ETY!D:D,B115,本期ETY!F:F),2)</f>
        <v>0</v>
      </c>
      <c r="G115" s="1">
        <f>ROUND(SUMIF(本期ETY!D:D,B115,本期ETY!G:G),2)</f>
        <v>0</v>
      </c>
      <c r="H115" s="114">
        <f t="shared" si="21"/>
        <v>0</v>
      </c>
      <c r="I115" s="1" t="s">
        <v>1015</v>
      </c>
      <c r="K115" s="1" t="s">
        <v>832</v>
      </c>
      <c r="L115" s="1" t="str">
        <f>_xlfn.IFNA(VLOOKUP(I115,科目余额表!B:M,11,0),K115)</f>
        <v>贷</v>
      </c>
    </row>
    <row r="116" spans="1:12">
      <c r="A116" s="122" t="s">
        <v>1016</v>
      </c>
      <c r="B116" s="112" t="s">
        <v>752</v>
      </c>
      <c r="C116" s="110"/>
      <c r="D116" s="110"/>
      <c r="E116" s="113">
        <f>IF(K116=L116,_xlfn.IFNA(VLOOKUP(I116,科目余额表!B:M,12,0),0),-_xlfn.IFNA(VLOOKUP(I116,科目余额表!B:M,12,0),0))</f>
        <v>0</v>
      </c>
      <c r="F116" s="1">
        <f>ROUND(SUMIF(本期ETY!D:D,B116,本期ETY!F:F),2)</f>
        <v>0</v>
      </c>
      <c r="G116" s="1">
        <f>ROUND(SUMIF(本期ETY!D:D,B116,本期ETY!G:G),2)</f>
        <v>0</v>
      </c>
      <c r="H116" s="114">
        <f t="shared" si="21"/>
        <v>0</v>
      </c>
      <c r="I116" s="1" t="s">
        <v>752</v>
      </c>
      <c r="K116" s="1" t="s">
        <v>832</v>
      </c>
      <c r="L116" s="1" t="str">
        <f>_xlfn.IFNA(VLOOKUP(I116,科目余额表!B:M,11,0),K116)</f>
        <v>贷</v>
      </c>
    </row>
    <row r="117" spans="1:12">
      <c r="A117" s="123" t="s">
        <v>1017</v>
      </c>
      <c r="B117" s="112" t="s">
        <v>1018</v>
      </c>
      <c r="C117" s="110"/>
      <c r="D117" s="110"/>
      <c r="E117" s="113">
        <f>IF(K117=L117,_xlfn.IFNA(VLOOKUP(I117,科目余额表!B:M,12,0),0),-_xlfn.IFNA(VLOOKUP(I117,科目余额表!B:M,12,0),0))</f>
        <v>0</v>
      </c>
      <c r="F117" s="1">
        <f>ROUND(SUMIF(本期ETY!D:D,B117,本期ETY!F:F),2)</f>
        <v>0</v>
      </c>
      <c r="G117" s="1">
        <f>ROUND(SUMIF(本期ETY!D:D,B117,本期ETY!G:G),2)</f>
        <v>0</v>
      </c>
      <c r="H117" s="114">
        <f t="shared" si="21"/>
        <v>0</v>
      </c>
      <c r="I117" s="1" t="s">
        <v>93</v>
      </c>
      <c r="K117" s="1" t="s">
        <v>832</v>
      </c>
      <c r="L117" s="1" t="str">
        <f>_xlfn.IFNA(VLOOKUP(I117,科目余额表!B:M,11,0),K117)</f>
        <v>贷</v>
      </c>
    </row>
    <row r="118" spans="1:12">
      <c r="A118" s="123" t="s">
        <v>1019</v>
      </c>
      <c r="B118" s="112" t="s">
        <v>1020</v>
      </c>
      <c r="C118" s="110"/>
      <c r="D118" s="110"/>
      <c r="E118" s="113">
        <f>IF(K118=L118,_xlfn.IFNA(VLOOKUP(I118,科目余额表!B:M,12,0),0),-_xlfn.IFNA(VLOOKUP(I118,科目余额表!B:M,12,0),0))</f>
        <v>0</v>
      </c>
      <c r="F118" s="1">
        <f>ROUND(SUMIF(本期ETY!D:D,B118,本期ETY!F:F),2)</f>
        <v>0</v>
      </c>
      <c r="G118" s="1">
        <f>ROUND(SUMIF(本期ETY!D:D,B118,本期ETY!G:G),2)</f>
        <v>0</v>
      </c>
      <c r="H118" s="114">
        <f t="shared" si="21"/>
        <v>0</v>
      </c>
      <c r="I118" s="1" t="s">
        <v>767</v>
      </c>
      <c r="K118" s="1" t="s">
        <v>832</v>
      </c>
      <c r="L118" s="1" t="str">
        <f>_xlfn.IFNA(VLOOKUP(I118,科目余额表!B:M,11,0),K118)</f>
        <v>贷</v>
      </c>
    </row>
    <row r="119" spans="1:12">
      <c r="A119" s="122" t="s">
        <v>1021</v>
      </c>
      <c r="B119" s="112" t="s">
        <v>1022</v>
      </c>
      <c r="C119" s="110"/>
      <c r="D119" s="110"/>
      <c r="E119" s="113">
        <f>IF(K119=L119,_xlfn.IFNA(VLOOKUP(I119,科目余额表!B:M,12,0),0),-_xlfn.IFNA(VLOOKUP(I119,科目余额表!B:M,12,0),0))</f>
        <v>0</v>
      </c>
      <c r="F119" s="1">
        <f>ROUND(SUMIF(本期ETY!D:D,B119,本期ETY!F:F),2)</f>
        <v>0</v>
      </c>
      <c r="G119" s="1">
        <f>ROUND(SUMIF(本期ETY!D:D,B119,本期ETY!G:G),2)</f>
        <v>0</v>
      </c>
      <c r="H119" s="114">
        <f t="shared" si="21"/>
        <v>0</v>
      </c>
      <c r="I119" s="1" t="s">
        <v>1023</v>
      </c>
      <c r="K119" s="1" t="s">
        <v>832</v>
      </c>
      <c r="L119" s="1" t="str">
        <f>_xlfn.IFNA(VLOOKUP(I119,科目余额表!B:M,11,0),K119)</f>
        <v>贷</v>
      </c>
    </row>
    <row r="120" spans="1:12">
      <c r="A120" s="122" t="s">
        <v>1024</v>
      </c>
      <c r="B120" s="112" t="s">
        <v>1025</v>
      </c>
      <c r="C120" s="110"/>
      <c r="D120" s="110"/>
      <c r="E120" s="113">
        <f>IF(K120=L120,_xlfn.IFNA(VLOOKUP(I120,科目余额表!B:M,12,0),0),-_xlfn.IFNA(VLOOKUP(I120,科目余额表!B:M,12,0),0))</f>
        <v>0</v>
      </c>
      <c r="F120" s="1">
        <f>ROUND(SUMIF(本期ETY!D:D,B120,本期ETY!F:F),2)</f>
        <v>0</v>
      </c>
      <c r="G120" s="1">
        <f>ROUND(SUMIF(本期ETY!D:D,B120,本期ETY!G:G),2)</f>
        <v>0</v>
      </c>
      <c r="H120" s="114">
        <f t="shared" si="21"/>
        <v>0</v>
      </c>
      <c r="I120" s="1" t="s">
        <v>1025</v>
      </c>
      <c r="K120" s="1" t="s">
        <v>832</v>
      </c>
      <c r="L120" s="1" t="str">
        <f>_xlfn.IFNA(VLOOKUP(I120,科目余额表!B:M,11,0),K120)</f>
        <v>贷</v>
      </c>
    </row>
    <row r="121" spans="1:12">
      <c r="A121" s="123" t="s">
        <v>1026</v>
      </c>
      <c r="B121" s="112" t="s">
        <v>1027</v>
      </c>
      <c r="C121" s="110"/>
      <c r="D121" s="110"/>
      <c r="E121" s="113">
        <f>IF(K121=L121,_xlfn.IFNA(VLOOKUP(I121,科目余额表!B:M,12,0),0),-_xlfn.IFNA(VLOOKUP(I121,科目余额表!B:M,12,0),0))</f>
        <v>0</v>
      </c>
      <c r="F121" s="1">
        <f>ROUND(SUMIF(本期ETY!D:D,B121,本期ETY!F:F),2)</f>
        <v>0</v>
      </c>
      <c r="G121" s="1">
        <f>ROUND(SUMIF(本期ETY!D:D,B121,本期ETY!G:G),2)</f>
        <v>0</v>
      </c>
      <c r="H121" s="114">
        <f t="shared" si="21"/>
        <v>0</v>
      </c>
      <c r="I121" s="1" t="s">
        <v>1027</v>
      </c>
      <c r="K121" s="1" t="s">
        <v>832</v>
      </c>
      <c r="L121" s="1" t="str">
        <f>_xlfn.IFNA(VLOOKUP(I121,科目余额表!B:M,11,0),K121)</f>
        <v>贷</v>
      </c>
    </row>
    <row r="122" spans="1:12">
      <c r="A122" s="122" t="s">
        <v>1028</v>
      </c>
      <c r="B122" s="112" t="s">
        <v>1029</v>
      </c>
      <c r="C122" s="110"/>
      <c r="D122" s="110"/>
      <c r="E122" s="113">
        <f>IF(K122=L122,_xlfn.IFNA(VLOOKUP(I122,科目余额表!B:M,12,0),0),-_xlfn.IFNA(VLOOKUP(I122,科目余额表!B:M,12,0),0))</f>
        <v>0</v>
      </c>
      <c r="F122" s="1">
        <f>ROUND(SUMIF(本期ETY!D:D,B122,本期ETY!F:F),2)</f>
        <v>0</v>
      </c>
      <c r="G122" s="1">
        <f>ROUND(SUMIF(本期ETY!D:D,B122,本期ETY!G:G),2)</f>
        <v>0</v>
      </c>
      <c r="H122" s="114">
        <f t="shared" si="21"/>
        <v>0</v>
      </c>
      <c r="I122" s="1" t="s">
        <v>1029</v>
      </c>
      <c r="K122" s="1" t="s">
        <v>832</v>
      </c>
      <c r="L122" s="1" t="str">
        <f>_xlfn.IFNA(VLOOKUP(I122,科目余额表!B:M,11,0),K122)</f>
        <v>贷</v>
      </c>
    </row>
    <row r="123" spans="1:12">
      <c r="A123" s="122" t="s">
        <v>1030</v>
      </c>
      <c r="B123" s="112" t="s">
        <v>1031</v>
      </c>
      <c r="C123" s="110"/>
      <c r="D123" s="110"/>
      <c r="E123" s="113">
        <f>IF(K123=L123,_xlfn.IFNA(VLOOKUP(I123,科目余额表!B:M,12,0),0),-_xlfn.IFNA(VLOOKUP(I123,科目余额表!B:M,12,0),0))</f>
        <v>0</v>
      </c>
      <c r="F123" s="1">
        <f>ROUND(SUMIF(本期ETY!D:D,B123,本期ETY!F:F),2)</f>
        <v>0</v>
      </c>
      <c r="G123" s="1">
        <f>ROUND(SUMIF(本期ETY!D:D,B123,本期ETY!G:G),2)</f>
        <v>0</v>
      </c>
      <c r="H123" s="114">
        <f t="shared" si="21"/>
        <v>0</v>
      </c>
      <c r="I123" s="1" t="s">
        <v>1031</v>
      </c>
      <c r="K123" s="1" t="s">
        <v>832</v>
      </c>
      <c r="L123" s="1" t="str">
        <f>_xlfn.IFNA(VLOOKUP(I123,科目余额表!B:M,11,0),K123)</f>
        <v>贷</v>
      </c>
    </row>
    <row r="124" spans="1:12">
      <c r="A124" s="122" t="s">
        <v>1032</v>
      </c>
      <c r="B124" s="112" t="s">
        <v>753</v>
      </c>
      <c r="C124" s="110"/>
      <c r="D124" s="110"/>
      <c r="E124" s="113">
        <f>IF(K124=L124,_xlfn.IFNA(VLOOKUP(I124,科目余额表!B:M,12,0),0),-_xlfn.IFNA(VLOOKUP(I124,科目余额表!B:M,12,0),0))</f>
        <v>0</v>
      </c>
      <c r="F124" s="1">
        <f>ROUND(SUMIF(本期ETY!D:D,B124,本期ETY!F:F),2)</f>
        <v>0</v>
      </c>
      <c r="G124" s="1">
        <f>ROUND(SUMIF(本期ETY!D:D,B124,本期ETY!G:G),2)</f>
        <v>0</v>
      </c>
      <c r="H124" s="114">
        <f t="shared" si="21"/>
        <v>0</v>
      </c>
      <c r="I124" s="1" t="s">
        <v>753</v>
      </c>
      <c r="K124" s="1" t="s">
        <v>832</v>
      </c>
      <c r="L124" s="1" t="str">
        <f>_xlfn.IFNA(VLOOKUP(I124,科目余额表!B:M,11,0),K124)</f>
        <v>贷</v>
      </c>
    </row>
    <row r="125" spans="1:12">
      <c r="A125" s="122" t="s">
        <v>1033</v>
      </c>
      <c r="B125" s="112" t="s">
        <v>754</v>
      </c>
      <c r="C125" s="110"/>
      <c r="D125" s="110"/>
      <c r="E125" s="113">
        <f>IF(K125=L125,_xlfn.IFNA(VLOOKUP(I125,科目余额表!B:M,12,0),0),-_xlfn.IFNA(VLOOKUP(I125,科目余额表!B:M,12,0),0))</f>
        <v>0</v>
      </c>
      <c r="F125" s="1">
        <f>ROUND(SUMIF(本期ETY!D:D,B125,本期ETY!F:F),2)</f>
        <v>0</v>
      </c>
      <c r="G125" s="1">
        <f>ROUND(SUMIF(本期ETY!D:D,B125,本期ETY!G:G),2)</f>
        <v>0</v>
      </c>
      <c r="H125" s="114">
        <f t="shared" si="21"/>
        <v>0</v>
      </c>
      <c r="I125" s="1" t="s">
        <v>754</v>
      </c>
      <c r="K125" s="1" t="s">
        <v>832</v>
      </c>
      <c r="L125" s="1" t="str">
        <f>_xlfn.IFNA(VLOOKUP(I125,科目余额表!B:M,11,0),K125)</f>
        <v>贷</v>
      </c>
    </row>
    <row r="126" spans="1:12">
      <c r="A126" s="122" t="s">
        <v>1034</v>
      </c>
      <c r="B126" s="112" t="s">
        <v>1035</v>
      </c>
      <c r="C126" s="110"/>
      <c r="D126" s="110"/>
      <c r="E126" s="113">
        <f>IF(K126=L126,_xlfn.IFNA(VLOOKUP(I126,科目余额表!B:M,12,0),0),-_xlfn.IFNA(VLOOKUP(I126,科目余额表!B:M,12,0),0))</f>
        <v>0</v>
      </c>
      <c r="F126" s="1">
        <f>ROUND(SUMIF(本期ETY!D:D,B126,本期ETY!F:F),2)</f>
        <v>0</v>
      </c>
      <c r="G126" s="1">
        <f>ROUND(SUMIF(本期ETY!D:D,B126,本期ETY!G:G),2)</f>
        <v>0</v>
      </c>
      <c r="H126" s="114">
        <f t="shared" si="21"/>
        <v>0</v>
      </c>
      <c r="I126" s="1" t="s">
        <v>526</v>
      </c>
      <c r="K126" s="1" t="s">
        <v>832</v>
      </c>
      <c r="L126" s="1" t="str">
        <f>_xlfn.IFNA(VLOOKUP(I126,科目余额表!B:M,11,0),K126)</f>
        <v>贷</v>
      </c>
    </row>
    <row r="127" spans="1:12">
      <c r="A127" s="122" t="s">
        <v>1036</v>
      </c>
      <c r="B127" s="112" t="s">
        <v>1037</v>
      </c>
      <c r="C127" s="110"/>
      <c r="D127" s="110"/>
      <c r="E127" s="113">
        <f>IF(K127=L127,_xlfn.IFNA(VLOOKUP(I127,科目余额表!B:M,12,0),0),-_xlfn.IFNA(VLOOKUP(I127,科目余额表!B:M,12,0),0))</f>
        <v>0</v>
      </c>
      <c r="F127" s="1">
        <f>ROUND(SUMIF(本期ETY!D:D,B127,本期ETY!F:F),2)</f>
        <v>0</v>
      </c>
      <c r="G127" s="1">
        <f>ROUND(SUMIF(本期ETY!D:D,B127,本期ETY!G:G),2)</f>
        <v>0</v>
      </c>
      <c r="H127" s="114">
        <f t="shared" si="21"/>
        <v>0</v>
      </c>
      <c r="I127" s="1" t="s">
        <v>527</v>
      </c>
      <c r="K127" s="1" t="s">
        <v>832</v>
      </c>
      <c r="L127" s="1" t="str">
        <f>_xlfn.IFNA(VLOOKUP(I127,科目余额表!B:M,11,0),K127)</f>
        <v>贷</v>
      </c>
    </row>
    <row r="128" spans="1:12">
      <c r="A128" s="122" t="s">
        <v>1038</v>
      </c>
      <c r="B128" s="112" t="s">
        <v>528</v>
      </c>
      <c r="C128" s="110"/>
      <c r="D128" s="110"/>
      <c r="E128" s="113">
        <f>IF(K128=L128,_xlfn.IFNA(VLOOKUP(I128,科目余额表!B:M,12,0),0),-_xlfn.IFNA(VLOOKUP(I128,科目余额表!B:M,12,0),0))</f>
        <v>0</v>
      </c>
      <c r="F128" s="1">
        <f>ROUND(SUMIF(本期ETY!D:D,B128,本期ETY!F:F),2)</f>
        <v>0</v>
      </c>
      <c r="G128" s="1">
        <f>ROUND(SUMIF(本期ETY!D:D,B128,本期ETY!G:G),2)</f>
        <v>0</v>
      </c>
      <c r="H128" s="114">
        <f>ROUND(E128-F128+G128,2)</f>
        <v>0</v>
      </c>
      <c r="I128" s="1" t="s">
        <v>528</v>
      </c>
      <c r="K128" s="1" t="s">
        <v>832</v>
      </c>
      <c r="L128" s="1" t="str">
        <f>_xlfn.IFNA(VLOOKUP(I128,科目余额表!B:M,11,0),K128)</f>
        <v>贷</v>
      </c>
    </row>
    <row r="129" spans="1:12">
      <c r="A129" s="122" t="s">
        <v>1039</v>
      </c>
      <c r="B129" s="112" t="s">
        <v>1040</v>
      </c>
      <c r="C129" s="110"/>
      <c r="D129" s="110"/>
      <c r="E129" s="113">
        <f>IF(K129=L129,_xlfn.IFNA(VLOOKUP(I129,科目余额表!B:M,12,0),0),-_xlfn.IFNA(VLOOKUP(I129,科目余额表!B:M,12,0),0))</f>
        <v>0</v>
      </c>
      <c r="F129" s="1">
        <f>ROUND(SUMIF(本期ETY!D:D,B129,本期ETY!F:F),2)</f>
        <v>0</v>
      </c>
      <c r="G129" s="1">
        <f>ROUND(SUMIF(本期ETY!D:D,B129,本期ETY!G:G),2)</f>
        <v>0</v>
      </c>
      <c r="H129" s="114">
        <f t="shared" si="21"/>
        <v>0</v>
      </c>
      <c r="I129" s="1" t="s">
        <v>1040</v>
      </c>
      <c r="K129" s="1" t="s">
        <v>832</v>
      </c>
      <c r="L129" s="1" t="str">
        <f>_xlfn.IFNA(VLOOKUP(I129,科目余额表!B:M,11,0),K129)</f>
        <v>贷</v>
      </c>
    </row>
    <row r="130" spans="1:12">
      <c r="A130" s="122" t="s">
        <v>1041</v>
      </c>
      <c r="B130" s="112" t="s">
        <v>1042</v>
      </c>
      <c r="C130" s="110"/>
      <c r="D130" s="110"/>
      <c r="E130" s="113">
        <f>IF(K130=L130,_xlfn.IFNA(VLOOKUP(I130,科目余额表!B:M,12,0),0),-_xlfn.IFNA(VLOOKUP(I130,科目余额表!B:M,12,0),0))</f>
        <v>0</v>
      </c>
      <c r="F130" s="1">
        <f>ROUND(SUMIF(本期ETY!D:D,B130,本期ETY!F:F),2)</f>
        <v>0</v>
      </c>
      <c r="G130" s="1">
        <f>ROUND(SUMIF(本期ETY!D:D,B130,本期ETY!G:G),2)</f>
        <v>0</v>
      </c>
      <c r="H130" s="114">
        <f t="shared" si="21"/>
        <v>0</v>
      </c>
      <c r="I130" s="1" t="s">
        <v>1042</v>
      </c>
      <c r="K130" s="1" t="s">
        <v>832</v>
      </c>
      <c r="L130" s="1" t="str">
        <f>_xlfn.IFNA(VLOOKUP(I130,科目余额表!B:M,11,0),K130)</f>
        <v>贷</v>
      </c>
    </row>
    <row r="131" spans="1:12">
      <c r="A131" s="122" t="s">
        <v>1043</v>
      </c>
      <c r="B131" s="112" t="s">
        <v>82</v>
      </c>
      <c r="C131" s="110"/>
      <c r="D131" s="116" t="s">
        <v>823</v>
      </c>
      <c r="E131" s="113">
        <f>IF(K131=L131,_xlfn.IFNA(VLOOKUP(I131,科目余额表!B:M,12,0),0),-_xlfn.IFNA(VLOOKUP(I131,科目余额表!B:M,12,0),0))</f>
        <v>0</v>
      </c>
      <c r="F131" s="1">
        <f>ROUND(SUMIF(本期ETY!D:D,B131,本期ETY!F:F),2)</f>
        <v>0</v>
      </c>
      <c r="G131" s="1">
        <f>ROUND(SUMIF(本期ETY!D:D,B131,本期ETY!G:G),2)</f>
        <v>0</v>
      </c>
      <c r="H131" s="114">
        <f t="shared" si="21"/>
        <v>0</v>
      </c>
      <c r="I131" s="1" t="s">
        <v>82</v>
      </c>
      <c r="K131" s="1" t="s">
        <v>832</v>
      </c>
      <c r="L131" s="1" t="str">
        <f>_xlfn.IFNA(VLOOKUP(I131,科目余额表!B:M,11,0),K131)</f>
        <v>贷</v>
      </c>
    </row>
    <row r="132" spans="1:12">
      <c r="A132" s="122" t="s">
        <v>1044</v>
      </c>
      <c r="B132" s="112" t="s">
        <v>1045</v>
      </c>
      <c r="C132" s="110"/>
      <c r="D132" s="110"/>
      <c r="E132" s="113">
        <f>IF(K132=L132,_xlfn.IFNA(VLOOKUP(I132,科目余额表!B:M,12,0),0),-_xlfn.IFNA(VLOOKUP(I132,科目余额表!B:M,12,0),0))</f>
        <v>0</v>
      </c>
      <c r="F132" s="1">
        <f>ROUND(SUMIF(本期ETY!D:D,B132,本期ETY!F:F),2)</f>
        <v>0</v>
      </c>
      <c r="G132" s="1">
        <f>ROUND(SUMIF(本期ETY!D:D,B132,本期ETY!G:G),2)</f>
        <v>0</v>
      </c>
      <c r="H132" s="114">
        <f t="shared" si="21"/>
        <v>0</v>
      </c>
      <c r="I132" s="1" t="s">
        <v>1045</v>
      </c>
      <c r="K132" s="1" t="s">
        <v>832</v>
      </c>
      <c r="L132" s="1" t="str">
        <f>_xlfn.IFNA(VLOOKUP(I132,科目余额表!B:M,11,0),K132)</f>
        <v>贷</v>
      </c>
    </row>
    <row r="133" spans="1:12">
      <c r="A133" s="122" t="s">
        <v>1046</v>
      </c>
      <c r="B133" s="112" t="s">
        <v>1047</v>
      </c>
      <c r="C133" s="110"/>
      <c r="D133" s="110"/>
      <c r="E133" s="113">
        <f>IF(K133=L133,_xlfn.IFNA(VLOOKUP(I133,科目余额表!B:M,12,0),0),-_xlfn.IFNA(VLOOKUP(I133,科目余额表!B:M,12,0),0))</f>
        <v>0</v>
      </c>
      <c r="F133" s="1">
        <f>ROUND(SUMIF(本期ETY!D:D,B133,本期ETY!F:F),2)</f>
        <v>0</v>
      </c>
      <c r="G133" s="1">
        <f>ROUND(SUMIF(本期ETY!D:D,B133,本期ETY!G:G),2)</f>
        <v>0</v>
      </c>
      <c r="H133" s="114">
        <f t="shared" si="21"/>
        <v>0</v>
      </c>
      <c r="I133" s="1" t="s">
        <v>1047</v>
      </c>
      <c r="K133" s="1" t="s">
        <v>832</v>
      </c>
      <c r="L133" s="1" t="str">
        <f>_xlfn.IFNA(VLOOKUP(I133,科目余额表!B:M,11,0),K133)</f>
        <v>贷</v>
      </c>
    </row>
    <row r="134" spans="1:12">
      <c r="A134" s="122" t="s">
        <v>1048</v>
      </c>
      <c r="B134" s="112" t="s">
        <v>1049</v>
      </c>
      <c r="C134" s="110"/>
      <c r="D134" s="110"/>
      <c r="E134" s="113">
        <f>IF(K134=L134,_xlfn.IFNA(VLOOKUP(I134,科目余额表!B:M,12,0),0),-_xlfn.IFNA(VLOOKUP(I134,科目余额表!B:M,12,0),0))</f>
        <v>0</v>
      </c>
      <c r="F134" s="1">
        <f>ROUND(SUMIF(本期ETY!D:D,B134,本期ETY!F:F),2)</f>
        <v>0</v>
      </c>
      <c r="G134" s="1">
        <f>ROUND(SUMIF(本期ETY!D:D,B134,本期ETY!G:G),2)</f>
        <v>0</v>
      </c>
      <c r="H134" s="114">
        <f t="shared" si="21"/>
        <v>0</v>
      </c>
      <c r="I134" s="1" t="s">
        <v>1049</v>
      </c>
      <c r="K134" s="1" t="s">
        <v>832</v>
      </c>
      <c r="L134" s="1" t="str">
        <f>_xlfn.IFNA(VLOOKUP(I134,科目余额表!B:M,11,0),K134)</f>
        <v>贷</v>
      </c>
    </row>
    <row r="135" spans="1:12">
      <c r="A135" s="121" t="s">
        <v>1050</v>
      </c>
      <c r="B135" s="112"/>
      <c r="C135" s="118"/>
      <c r="D135" s="118"/>
      <c r="E135" s="120">
        <f>E110+E111+E112+E113+E114+E115+E116+E117+E118+E119+E120+E121+E122+E123+E124+E125+E128+E129+E130+E131+E132+E133+E134+E126+E127</f>
        <v>0</v>
      </c>
      <c r="F135" s="110">
        <f t="shared" ref="F135:G135" si="22">F110+F111+F112+F113+F114+F115+F116+F117+F118+F119+F120+F121+F122+F123+F124+F125+F128+F129+F130+F131+F132+F133+F134+F126+F127</f>
        <v>0</v>
      </c>
      <c r="G135" s="110">
        <f t="shared" si="22"/>
        <v>0</v>
      </c>
      <c r="H135" s="120">
        <f>H110+H111+H112+H113+H114+H115+H116+H117+H118+H119+H120+H121+H122+H123+H124+H125+H128+H129+H130+H131+H132+H133+H134+H126+H127</f>
        <v>0</v>
      </c>
      <c r="L135" s="1">
        <f>_xlfn.IFNA(VLOOKUP(I135,科目余额表!B:M,11,0),K135)</f>
        <v>0</v>
      </c>
    </row>
    <row r="136" spans="1:12">
      <c r="A136" s="121" t="s">
        <v>1051</v>
      </c>
      <c r="B136" s="112"/>
      <c r="C136" s="110"/>
      <c r="D136" s="110"/>
      <c r="E136" s="110"/>
      <c r="L136" s="1">
        <f>_xlfn.IFNA(VLOOKUP(I136,科目余额表!B:M,11,0),K136)</f>
        <v>0</v>
      </c>
    </row>
    <row r="137" spans="1:12">
      <c r="A137" s="122" t="s">
        <v>1052</v>
      </c>
      <c r="B137" s="112" t="s">
        <v>1053</v>
      </c>
      <c r="C137" s="110"/>
      <c r="D137" s="110"/>
      <c r="E137" s="110"/>
      <c r="F137" s="1">
        <f>ROUND(SUMIF(本期ETY!D:D,B137,本期ETY!F:F),2)</f>
        <v>0</v>
      </c>
      <c r="G137" s="1">
        <f>ROUND(SUMIF(本期ETY!D:D,B137,本期ETY!G:G),2)</f>
        <v>0</v>
      </c>
      <c r="H137" s="114">
        <f t="shared" ref="H137:H151" si="23">ROUND(E137-F137+G137,2)</f>
        <v>0</v>
      </c>
      <c r="I137" s="1" t="s">
        <v>1053</v>
      </c>
      <c r="K137" s="1" t="s">
        <v>832</v>
      </c>
      <c r="L137" s="1" t="str">
        <f>_xlfn.IFNA(VLOOKUP(I137,科目余额表!B:M,11,0),K137)</f>
        <v>贷</v>
      </c>
    </row>
    <row r="138" spans="1:12">
      <c r="A138" s="122" t="s">
        <v>1054</v>
      </c>
      <c r="B138" s="112" t="s">
        <v>736</v>
      </c>
      <c r="C138" s="110"/>
      <c r="D138" s="110"/>
      <c r="E138" s="113">
        <f>IF(K138=L138,_xlfn.IFNA(VLOOKUP(I138,科目余额表!B:M,12,0),0),-_xlfn.IFNA(VLOOKUP(I138,科目余额表!B:M,12,0),0))</f>
        <v>0</v>
      </c>
      <c r="F138" s="1">
        <f>ROUND(SUMIF(本期ETY!D:D,B138,本期ETY!F:F),2)</f>
        <v>0</v>
      </c>
      <c r="G138" s="1">
        <f>ROUND(SUMIF(本期ETY!D:D,B138,本期ETY!G:G),2)</f>
        <v>0</v>
      </c>
      <c r="H138" s="114">
        <f t="shared" si="23"/>
        <v>0</v>
      </c>
      <c r="I138" s="1" t="s">
        <v>736</v>
      </c>
      <c r="K138" s="1" t="s">
        <v>832</v>
      </c>
      <c r="L138" s="1" t="str">
        <f>_xlfn.IFNA(VLOOKUP(I138,科目余额表!B:M,11,0),K138)</f>
        <v>贷</v>
      </c>
    </row>
    <row r="139" spans="1:12">
      <c r="A139" s="122" t="s">
        <v>1055</v>
      </c>
      <c r="B139" s="112" t="s">
        <v>756</v>
      </c>
      <c r="C139" s="110"/>
      <c r="D139" s="110"/>
      <c r="E139" s="113">
        <f>IF(K139=L139,_xlfn.IFNA(VLOOKUP(I139,科目余额表!B:M,12,0),0),-_xlfn.IFNA(VLOOKUP(I139,科目余额表!B:M,12,0),0))</f>
        <v>0</v>
      </c>
      <c r="F139" s="1">
        <f>ROUND(SUMIF(本期ETY!D:D,B139,本期ETY!F:F),2)</f>
        <v>0</v>
      </c>
      <c r="G139" s="1">
        <f>ROUND(SUMIF(本期ETY!D:D,B139,本期ETY!G:G),2)</f>
        <v>0</v>
      </c>
      <c r="H139" s="114">
        <f t="shared" si="23"/>
        <v>0</v>
      </c>
      <c r="I139" s="1" t="s">
        <v>756</v>
      </c>
      <c r="K139" s="1" t="s">
        <v>832</v>
      </c>
      <c r="L139" s="1" t="str">
        <f>_xlfn.IFNA(VLOOKUP(I139,科目余额表!B:M,11,0),K139)</f>
        <v>贷</v>
      </c>
    </row>
    <row r="140" spans="1:12">
      <c r="A140" s="122" t="s">
        <v>1056</v>
      </c>
      <c r="B140" s="112" t="s">
        <v>1057</v>
      </c>
      <c r="C140" s="110"/>
      <c r="D140" s="110"/>
      <c r="E140" s="110"/>
      <c r="F140" s="1">
        <f>ROUND(SUMIF(本期ETY!D:D,B140,本期ETY!F:F),2)</f>
        <v>0</v>
      </c>
      <c r="G140" s="1">
        <f>ROUND(SUMIF(本期ETY!D:D,B140,本期ETY!G:G),2)</f>
        <v>0</v>
      </c>
      <c r="H140" s="114">
        <f t="shared" si="23"/>
        <v>0</v>
      </c>
      <c r="I140" s="1" t="s">
        <v>1058</v>
      </c>
      <c r="K140" s="1" t="s">
        <v>832</v>
      </c>
      <c r="L140" s="1" t="str">
        <f>_xlfn.IFNA(VLOOKUP(I140,科目余额表!B:M,11,0),K140)</f>
        <v>贷</v>
      </c>
    </row>
    <row r="141" spans="1:12">
      <c r="A141" s="123" t="s">
        <v>1059</v>
      </c>
      <c r="B141" s="112" t="s">
        <v>1060</v>
      </c>
      <c r="C141" s="110"/>
      <c r="D141" s="110"/>
      <c r="E141" s="110"/>
      <c r="F141" s="1">
        <f>ROUND(SUMIF(本期ETY!D:D,B141,本期ETY!F:F),2)</f>
        <v>0</v>
      </c>
      <c r="G141" s="1">
        <f>ROUND(SUMIF(本期ETY!D:D,B141,本期ETY!G:G),2)</f>
        <v>0</v>
      </c>
      <c r="H141" s="114">
        <f t="shared" si="23"/>
        <v>0</v>
      </c>
      <c r="I141" s="1" t="s">
        <v>1060</v>
      </c>
      <c r="K141" s="1" t="s">
        <v>832</v>
      </c>
      <c r="L141" s="1" t="str">
        <f>_xlfn.IFNA(VLOOKUP(I141,科目余额表!B:M,11,0),K141)</f>
        <v>贷</v>
      </c>
    </row>
    <row r="142" spans="1:12">
      <c r="A142" s="123" t="s">
        <v>1061</v>
      </c>
      <c r="B142" s="112" t="s">
        <v>92</v>
      </c>
      <c r="C142" s="110"/>
      <c r="D142" s="116" t="s">
        <v>823</v>
      </c>
      <c r="E142" s="110"/>
      <c r="F142" s="1">
        <f>ROUND(SUMIF(本期ETY!D:D,B142,本期ETY!F:F),2)</f>
        <v>0</v>
      </c>
      <c r="G142" s="1">
        <f>ROUND(SUMIF(本期ETY!D:D,B142,本期ETY!G:G),2)</f>
        <v>0</v>
      </c>
      <c r="H142" s="114">
        <f t="shared" si="23"/>
        <v>0</v>
      </c>
      <c r="I142" s="1" t="s">
        <v>92</v>
      </c>
      <c r="K142" s="1" t="s">
        <v>832</v>
      </c>
      <c r="L142" s="1" t="str">
        <f>_xlfn.IFNA(VLOOKUP(I142,科目余额表!B:M,11,0),K142)</f>
        <v>贷</v>
      </c>
    </row>
    <row r="143" spans="1:12">
      <c r="A143" s="123" t="s">
        <v>1062</v>
      </c>
      <c r="B143" s="112" t="s">
        <v>1063</v>
      </c>
      <c r="C143" s="110"/>
      <c r="D143" s="116"/>
      <c r="E143" s="113">
        <f>IF(K143=L143,_xlfn.IFNA(VLOOKUP(I143,科目余额表!B:M,12,0),0),-_xlfn.IFNA(VLOOKUP(I143,科目余额表!B:M,12,0),0))</f>
        <v>0</v>
      </c>
      <c r="F143" s="1">
        <f>ROUND(SUMIF(本期ETY!D:D,B143,本期ETY!F:F),2)</f>
        <v>0</v>
      </c>
      <c r="G143" s="1">
        <f>ROUND(SUMIF(本期ETY!D:D,B143,本期ETY!G:G),2)</f>
        <v>0</v>
      </c>
      <c r="H143" s="114">
        <f t="shared" si="23"/>
        <v>0</v>
      </c>
      <c r="I143" s="1" t="s">
        <v>1063</v>
      </c>
      <c r="K143" s="1" t="s">
        <v>832</v>
      </c>
      <c r="L143" s="1" t="str">
        <f>_xlfn.IFNA(VLOOKUP(I143,科目余额表!B:M,11,0),K143)</f>
        <v>贷</v>
      </c>
    </row>
    <row r="144" spans="1:12">
      <c r="A144" s="123" t="s">
        <v>1064</v>
      </c>
      <c r="B144" s="112" t="s">
        <v>1065</v>
      </c>
      <c r="C144" s="110"/>
      <c r="D144" s="116"/>
      <c r="E144" s="113">
        <f>IF(K144=L144,_xlfn.IFNA(VLOOKUP(I144,科目余额表!B:M,12,0),0),-_xlfn.IFNA(VLOOKUP(I144,科目余额表!B:M,12,0),0))</f>
        <v>0</v>
      </c>
      <c r="F144" s="1">
        <f>ROUND(SUMIF(本期ETY!D:D,B144,本期ETY!F:F),2)</f>
        <v>0</v>
      </c>
      <c r="G144" s="1">
        <f>ROUND(SUMIF(本期ETY!D:D,B144,本期ETY!G:G),2)</f>
        <v>0</v>
      </c>
      <c r="H144" s="114">
        <f t="shared" si="23"/>
        <v>0</v>
      </c>
      <c r="I144" s="1" t="s">
        <v>94</v>
      </c>
      <c r="K144" s="1" t="s">
        <v>832</v>
      </c>
      <c r="L144" s="1" t="str">
        <f>_xlfn.IFNA(VLOOKUP(I144,科目余额表!B:M,11,0),K144)</f>
        <v>贷</v>
      </c>
    </row>
    <row r="145" spans="1:12">
      <c r="A145" s="123" t="s">
        <v>1066</v>
      </c>
      <c r="B145" s="112" t="s">
        <v>1067</v>
      </c>
      <c r="C145" s="110"/>
      <c r="D145" s="116"/>
      <c r="E145" s="113">
        <f>IF(K145=L145,_xlfn.IFNA(VLOOKUP(I145,科目余额表!B:M,12,0),0),-_xlfn.IFNA(VLOOKUP(I145,科目余额表!B:M,12,0),0))</f>
        <v>0</v>
      </c>
      <c r="F145" s="1">
        <f>ROUND(SUMIF(本期ETY!D:D,B145,本期ETY!F:F),2)</f>
        <v>0</v>
      </c>
      <c r="G145" s="1">
        <f>ROUND(SUMIF(本期ETY!D:D,B145,本期ETY!G:G),2)</f>
        <v>0</v>
      </c>
      <c r="H145" s="114">
        <f t="shared" ref="H145" si="24">ROUND(E145+F145-G145,2)</f>
        <v>0</v>
      </c>
      <c r="I145" s="1" t="s">
        <v>1068</v>
      </c>
      <c r="K145" s="1" t="s">
        <v>1069</v>
      </c>
      <c r="L145" s="1" t="s">
        <v>1069</v>
      </c>
    </row>
    <row r="146" spans="1:12">
      <c r="A146" s="122" t="s">
        <v>1070</v>
      </c>
      <c r="B146" s="112"/>
      <c r="C146" s="110"/>
      <c r="D146" s="110"/>
      <c r="E146" s="113">
        <f>E144-E145</f>
        <v>0</v>
      </c>
      <c r="F146" s="1"/>
      <c r="G146" s="1"/>
      <c r="H146" s="114">
        <f>H144-H145</f>
        <v>0</v>
      </c>
    </row>
    <row r="147" spans="1:12">
      <c r="A147" s="122" t="s">
        <v>1071</v>
      </c>
      <c r="B147" s="112" t="s">
        <v>1072</v>
      </c>
      <c r="C147" s="110"/>
      <c r="D147" s="110"/>
      <c r="E147" s="113">
        <f>IF(K147=L147,_xlfn.IFNA(VLOOKUP(I147,科目余额表!B:M,12,0),0),-_xlfn.IFNA(VLOOKUP(I147,科目余额表!B:M,12,0),0))</f>
        <v>0</v>
      </c>
      <c r="F147" s="1">
        <f>ROUND(SUMIF(本期ETY!D:D,B147,本期ETY!F:F),2)</f>
        <v>0</v>
      </c>
      <c r="G147" s="1">
        <f>ROUND(SUMIF(本期ETY!D:D,B147,本期ETY!G:G),2)</f>
        <v>0</v>
      </c>
      <c r="H147" s="114">
        <f t="shared" si="23"/>
        <v>0</v>
      </c>
      <c r="I147" s="1" t="s">
        <v>1072</v>
      </c>
      <c r="K147" s="1" t="s">
        <v>832</v>
      </c>
      <c r="L147" s="1" t="str">
        <f>_xlfn.IFNA(VLOOKUP(I147,科目余额表!B:M,11,0),K147)</f>
        <v>贷</v>
      </c>
    </row>
    <row r="148" spans="1:12">
      <c r="A148" s="122" t="s">
        <v>1073</v>
      </c>
      <c r="B148" s="112" t="s">
        <v>1074</v>
      </c>
      <c r="C148" s="110"/>
      <c r="D148" s="110"/>
      <c r="E148" s="113">
        <f>IF(K148=L148,_xlfn.IFNA(VLOOKUP(I148,科目余额表!B:M,12,0),0),-_xlfn.IFNA(VLOOKUP(I148,科目余额表!B:M,12,0),0))</f>
        <v>0</v>
      </c>
      <c r="F148" s="1">
        <f>ROUND(SUMIF(本期ETY!D:D,B148,本期ETY!F:F),2)</f>
        <v>0</v>
      </c>
      <c r="G148" s="1">
        <f>ROUND(SUMIF(本期ETY!D:D,B148,本期ETY!G:G),2)</f>
        <v>0</v>
      </c>
      <c r="H148" s="114">
        <f t="shared" si="23"/>
        <v>0</v>
      </c>
      <c r="I148" s="1" t="s">
        <v>1074</v>
      </c>
      <c r="K148" s="1" t="s">
        <v>832</v>
      </c>
      <c r="L148" s="1" t="str">
        <f>_xlfn.IFNA(VLOOKUP(I148,科目余额表!B:M,11,0),K148)</f>
        <v>贷</v>
      </c>
    </row>
    <row r="149" spans="1:12">
      <c r="A149" s="122" t="s">
        <v>1075</v>
      </c>
      <c r="B149" s="112" t="s">
        <v>755</v>
      </c>
      <c r="C149" s="110"/>
      <c r="D149" s="110"/>
      <c r="E149" s="113">
        <f>IF(K149=L149,_xlfn.IFNA(VLOOKUP(I149,科目余额表!B:M,12,0),0),-_xlfn.IFNA(VLOOKUP(I149,科目余额表!B:M,12,0),0))</f>
        <v>0</v>
      </c>
      <c r="F149" s="1">
        <f>ROUND(SUMIF(本期ETY!D:D,B149,本期ETY!F:F),2)</f>
        <v>0</v>
      </c>
      <c r="G149" s="1">
        <f>ROUND(SUMIF(本期ETY!D:D,B149,本期ETY!G:G),2)</f>
        <v>0</v>
      </c>
      <c r="H149" s="114">
        <f t="shared" si="23"/>
        <v>0</v>
      </c>
      <c r="I149" s="1" t="s">
        <v>755</v>
      </c>
      <c r="K149" s="1" t="s">
        <v>832</v>
      </c>
      <c r="L149" s="1" t="str">
        <f>_xlfn.IFNA(VLOOKUP(I149,科目余额表!B:M,11,0),K149)</f>
        <v>贷</v>
      </c>
    </row>
    <row r="150" spans="1:12">
      <c r="A150" s="122" t="s">
        <v>1076</v>
      </c>
      <c r="B150" s="112" t="s">
        <v>757</v>
      </c>
      <c r="C150" s="110"/>
      <c r="D150" s="110"/>
      <c r="E150" s="113">
        <f>IF(K150=L150,_xlfn.IFNA(VLOOKUP(I150,科目余额表!B:M,12,0),0),-_xlfn.IFNA(VLOOKUP(I150,科目余额表!B:M,12,0),0))</f>
        <v>0</v>
      </c>
      <c r="F150" s="1">
        <f>ROUND(SUMIF(本期ETY!D:D,B150,本期ETY!F:F),2)</f>
        <v>0</v>
      </c>
      <c r="G150" s="1">
        <f>ROUND(SUMIF(本期ETY!D:D,B150,本期ETY!G:G),2)</f>
        <v>0</v>
      </c>
      <c r="H150" s="114">
        <f t="shared" si="23"/>
        <v>0</v>
      </c>
      <c r="I150" s="1" t="s">
        <v>757</v>
      </c>
      <c r="K150" s="1" t="s">
        <v>832</v>
      </c>
      <c r="L150" s="1" t="str">
        <f>_xlfn.IFNA(VLOOKUP(I150,科目余额表!B:M,11,0),K150)</f>
        <v>贷</v>
      </c>
    </row>
    <row r="151" spans="1:12">
      <c r="A151" s="122" t="s">
        <v>1077</v>
      </c>
      <c r="B151" s="112" t="s">
        <v>84</v>
      </c>
      <c r="C151" s="110"/>
      <c r="D151" s="110"/>
      <c r="E151" s="113">
        <f>IF(K151=L151,_xlfn.IFNA(VLOOKUP(I151,科目余额表!B:M,12,0),0),-_xlfn.IFNA(VLOOKUP(I151,科目余额表!B:M,12,0),0))</f>
        <v>0</v>
      </c>
      <c r="F151" s="1">
        <f>ROUND(SUMIF(本期ETY!D:D,B151,本期ETY!F:F),2)</f>
        <v>0</v>
      </c>
      <c r="G151" s="1">
        <f>ROUND(SUMIF(本期ETY!D:D,B151,本期ETY!G:G),2)</f>
        <v>0</v>
      </c>
      <c r="H151" s="114">
        <f t="shared" si="23"/>
        <v>0</v>
      </c>
      <c r="I151" s="1" t="s">
        <v>84</v>
      </c>
      <c r="K151" s="1" t="s">
        <v>832</v>
      </c>
      <c r="L151" s="1" t="str">
        <f>_xlfn.IFNA(VLOOKUP(I151,科目余额表!B:M,11,0),K151)</f>
        <v>贷</v>
      </c>
    </row>
    <row r="152" spans="1:12">
      <c r="A152" s="121" t="s">
        <v>1078</v>
      </c>
      <c r="B152" s="112"/>
      <c r="C152" s="118"/>
      <c r="D152" s="118"/>
      <c r="E152" s="120">
        <f>E137+E138+E139+E142+E143+E146+E147+E148+E149+E150+E151</f>
        <v>0</v>
      </c>
      <c r="F152" s="110">
        <f t="shared" ref="F152:G152" si="25">F137+F138+F139+F142+F146+F147+F148+F149+F150+F151</f>
        <v>0</v>
      </c>
      <c r="G152" s="110">
        <f t="shared" si="25"/>
        <v>0</v>
      </c>
      <c r="H152" s="120">
        <f>H137+H138+H139+H142+H143+H146+H147+H148+H149+H150+H151</f>
        <v>0</v>
      </c>
      <c r="L152" s="1">
        <f>_xlfn.IFNA(VLOOKUP(I152,科目余额表!B:M,11,0),K152)</f>
        <v>0</v>
      </c>
    </row>
    <row r="153" spans="1:12">
      <c r="A153" s="121" t="s">
        <v>1079</v>
      </c>
      <c r="B153" s="112"/>
      <c r="C153" s="110"/>
      <c r="D153" s="110"/>
      <c r="E153" s="120">
        <f>E152+E135</f>
        <v>0</v>
      </c>
      <c r="F153" s="110">
        <f t="shared" ref="F153:H153" si="26">F152+F135</f>
        <v>0</v>
      </c>
      <c r="G153" s="110">
        <f t="shared" si="26"/>
        <v>0</v>
      </c>
      <c r="H153" s="120">
        <f t="shared" si="26"/>
        <v>0</v>
      </c>
      <c r="L153" s="1">
        <f>_xlfn.IFNA(VLOOKUP(I153,科目余额表!B:M,11,0),K153)</f>
        <v>0</v>
      </c>
    </row>
    <row r="154" spans="1:12">
      <c r="A154" s="124" t="s">
        <v>1080</v>
      </c>
      <c r="B154" s="112"/>
      <c r="C154" s="110"/>
      <c r="D154" s="110"/>
      <c r="E154" s="110"/>
      <c r="L154" s="1">
        <f>_xlfn.IFNA(VLOOKUP(I154,科目余额表!B:M,11,0),K154)</f>
        <v>0</v>
      </c>
    </row>
    <row r="155" spans="1:12">
      <c r="A155" s="122" t="s">
        <v>1081</v>
      </c>
      <c r="B155" s="112" t="s">
        <v>1082</v>
      </c>
      <c r="C155" s="110"/>
      <c r="D155" s="110"/>
      <c r="E155" s="113">
        <f>IF(K155=L155,_xlfn.IFNA(VLOOKUP(I155,科目余额表!B:M,12,0),0),-_xlfn.IFNA(VLOOKUP(I155,科目余额表!B:M,12,0),0))</f>
        <v>0</v>
      </c>
      <c r="F155" s="1">
        <f>ROUND(SUMIF(本期ETY!D:D,B155,本期ETY!F:F),2)</f>
        <v>0</v>
      </c>
      <c r="G155" s="1">
        <f>ROUND(SUMIF(本期ETY!D:D,B155,本期ETY!G:G),2)</f>
        <v>0</v>
      </c>
      <c r="H155" s="114">
        <f t="shared" ref="H155:H164" si="27">ROUND(E155-F155+G155,2)</f>
        <v>0</v>
      </c>
      <c r="I155" s="1" t="s">
        <v>758</v>
      </c>
      <c r="K155" s="1" t="s">
        <v>832</v>
      </c>
      <c r="L155" s="1" t="str">
        <f>_xlfn.IFNA(VLOOKUP(I155,科目余额表!B:M,11,0),K155)</f>
        <v>贷</v>
      </c>
    </row>
    <row r="156" spans="1:12">
      <c r="A156" s="122" t="s">
        <v>1083</v>
      </c>
      <c r="B156" s="112" t="s">
        <v>1084</v>
      </c>
      <c r="C156" s="110"/>
      <c r="D156" s="110"/>
      <c r="E156" s="110"/>
      <c r="F156" s="1">
        <f>ROUND(SUMIF(本期ETY!D:D,B156,本期ETY!F:F),2)</f>
        <v>0</v>
      </c>
      <c r="G156" s="1">
        <f>ROUND(SUMIF(本期ETY!D:D,B156,本期ETY!G:G),2)</f>
        <v>0</v>
      </c>
      <c r="H156" s="114">
        <f t="shared" si="27"/>
        <v>0</v>
      </c>
      <c r="I156" s="1" t="s">
        <v>1084</v>
      </c>
      <c r="K156" s="1" t="s">
        <v>832</v>
      </c>
      <c r="L156" s="1" t="str">
        <f>_xlfn.IFNA(VLOOKUP(I156,科目余额表!B:M,11,0),K156)</f>
        <v>贷</v>
      </c>
    </row>
    <row r="157" spans="1:12">
      <c r="A157" s="122" t="s">
        <v>1085</v>
      </c>
      <c r="B157" s="112"/>
      <c r="C157" s="110"/>
      <c r="D157" s="110"/>
      <c r="E157" s="110"/>
      <c r="F157" s="1">
        <f>ROUND(SUMIF(本期ETY!D:D,B157,本期ETY!F:F),2)</f>
        <v>0</v>
      </c>
      <c r="G157" s="1">
        <f>ROUND(SUMIF(本期ETY!D:D,B157,本期ETY!G:G),2)</f>
        <v>0</v>
      </c>
      <c r="H157" s="114">
        <f t="shared" si="27"/>
        <v>0</v>
      </c>
      <c r="L157" s="1">
        <f>_xlfn.IFNA(VLOOKUP(I157,科目余额表!B:M,11,0),K157)</f>
        <v>0</v>
      </c>
    </row>
    <row r="158" spans="1:12">
      <c r="A158" s="122" t="s">
        <v>1086</v>
      </c>
      <c r="B158" s="112"/>
      <c r="C158" s="110"/>
      <c r="D158" s="110"/>
      <c r="E158" s="110"/>
      <c r="F158" s="1">
        <f>ROUND(SUMIF(本期ETY!D:D,B158,本期ETY!F:F),2)</f>
        <v>0</v>
      </c>
      <c r="G158" s="1">
        <f>ROUND(SUMIF(本期ETY!D:D,B158,本期ETY!G:G),2)</f>
        <v>0</v>
      </c>
      <c r="H158" s="114">
        <f t="shared" si="27"/>
        <v>0</v>
      </c>
      <c r="L158" s="1">
        <f>_xlfn.IFNA(VLOOKUP(I158,科目余额表!B:M,11,0),K158)</f>
        <v>0</v>
      </c>
    </row>
    <row r="159" spans="1:12">
      <c r="A159" s="122" t="s">
        <v>1087</v>
      </c>
      <c r="B159" s="112" t="s">
        <v>759</v>
      </c>
      <c r="C159" s="110"/>
      <c r="D159" s="110"/>
      <c r="E159" s="113">
        <f>IF(K159=L159,_xlfn.IFNA(VLOOKUP(I159,科目余额表!B:M,12,0),0),-_xlfn.IFNA(VLOOKUP(I159,科目余额表!B:M,12,0),0))</f>
        <v>0</v>
      </c>
      <c r="F159" s="1">
        <f>ROUND(SUMIF(本期ETY!D:D,B159,本期ETY!F:F),2)</f>
        <v>0</v>
      </c>
      <c r="G159" s="1">
        <f>ROUND(SUMIF(本期ETY!D:D,B159,本期ETY!G:G),2)</f>
        <v>0</v>
      </c>
      <c r="H159" s="114">
        <f t="shared" si="27"/>
        <v>0</v>
      </c>
      <c r="I159" s="1" t="s">
        <v>759</v>
      </c>
      <c r="K159" s="1" t="s">
        <v>832</v>
      </c>
      <c r="L159" s="1" t="str">
        <f>_xlfn.IFNA(VLOOKUP(I159,科目余额表!B:M,11,0),K159)</f>
        <v>贷</v>
      </c>
    </row>
    <row r="160" spans="1:12">
      <c r="A160" s="122" t="s">
        <v>1088</v>
      </c>
      <c r="B160" s="112" t="s">
        <v>1089</v>
      </c>
      <c r="C160" s="110"/>
      <c r="D160" s="110"/>
      <c r="E160" s="110"/>
      <c r="F160" s="1">
        <f>ROUND(SUMIF(本期ETY!D:D,B160,本期ETY!F:F),2)</f>
        <v>0</v>
      </c>
      <c r="G160" s="1">
        <f>ROUND(SUMIF(本期ETY!D:D,B160,本期ETY!G:G),2)</f>
        <v>0</v>
      </c>
      <c r="H160" s="114">
        <f t="shared" si="27"/>
        <v>0</v>
      </c>
      <c r="I160" s="1" t="s">
        <v>1090</v>
      </c>
      <c r="K160" s="1" t="s">
        <v>832</v>
      </c>
      <c r="L160" s="1" t="str">
        <f>_xlfn.IFNA(VLOOKUP(I160,科目余额表!B:M,11,0),K160)</f>
        <v>贷</v>
      </c>
    </row>
    <row r="161" spans="1:12">
      <c r="A161" s="122" t="s">
        <v>1091</v>
      </c>
      <c r="B161" s="112" t="s">
        <v>760</v>
      </c>
      <c r="C161" s="110"/>
      <c r="D161" s="110"/>
      <c r="E161" s="113">
        <f>IF(K161=L161,_xlfn.IFNA(VLOOKUP(I161,科目余额表!B:M,12,0),0),-_xlfn.IFNA(VLOOKUP(I161,科目余额表!B:M,12,0),0))</f>
        <v>0</v>
      </c>
      <c r="F161" s="1">
        <f>ROUND(SUMIF(本期ETY!D:D,B161,本期ETY!F:F),2)</f>
        <v>0</v>
      </c>
      <c r="G161" s="1">
        <f>ROUND(SUMIF(本期ETY!D:D,B161,本期ETY!G:G),2)</f>
        <v>0</v>
      </c>
      <c r="H161" s="114">
        <f t="shared" si="27"/>
        <v>0</v>
      </c>
      <c r="I161" s="1" t="s">
        <v>760</v>
      </c>
      <c r="K161" s="1" t="s">
        <v>832</v>
      </c>
      <c r="L161" s="1" t="str">
        <f>_xlfn.IFNA(VLOOKUP(I161,科目余额表!B:M,11,0),K161)</f>
        <v>贷</v>
      </c>
    </row>
    <row r="162" spans="1:12">
      <c r="A162" s="122" t="s">
        <v>1092</v>
      </c>
      <c r="B162" s="112" t="s">
        <v>1093</v>
      </c>
      <c r="C162" s="110"/>
      <c r="D162" s="110"/>
      <c r="E162" s="110"/>
      <c r="F162" s="1">
        <f>ROUND(SUMIF(本期ETY!D:D,B162,本期ETY!F:F),2)</f>
        <v>0</v>
      </c>
      <c r="G162" s="1">
        <f>ROUND(SUMIF(本期ETY!D:D,B162,本期ETY!G:G),2)</f>
        <v>0</v>
      </c>
      <c r="H162" s="114">
        <f t="shared" si="27"/>
        <v>0</v>
      </c>
      <c r="I162" s="1" t="s">
        <v>1093</v>
      </c>
      <c r="K162" s="1" t="s">
        <v>832</v>
      </c>
      <c r="L162" s="1" t="str">
        <f>_xlfn.IFNA(VLOOKUP(I162,科目余额表!B:M,11,0),K162)</f>
        <v>贷</v>
      </c>
    </row>
    <row r="163" spans="1:12">
      <c r="A163" s="122" t="s">
        <v>1094</v>
      </c>
      <c r="B163" s="112" t="s">
        <v>70</v>
      </c>
      <c r="C163" s="110"/>
      <c r="D163" s="110"/>
      <c r="E163" s="113">
        <f>IF(K163=L163,_xlfn.IFNA(VLOOKUP(I163,科目余额表!B:M,12,0),0),-_xlfn.IFNA(VLOOKUP(I163,科目余额表!B:M,12,0),0))</f>
        <v>0</v>
      </c>
      <c r="F163" s="1">
        <f>ROUND(SUMIF(本期ETY!D:D,B163,本期ETY!F:F),2)</f>
        <v>0</v>
      </c>
      <c r="G163" s="1">
        <f>ROUND(SUMIF(本期ETY!D:D,B163,本期ETY!G:G),2)</f>
        <v>0</v>
      </c>
      <c r="H163" s="114">
        <f t="shared" si="27"/>
        <v>0</v>
      </c>
      <c r="I163" s="1" t="s">
        <v>70</v>
      </c>
      <c r="K163" s="1" t="s">
        <v>832</v>
      </c>
      <c r="L163" s="1" t="str">
        <f>_xlfn.IFNA(VLOOKUP(I163,科目余额表!B:M,11,0),K163)</f>
        <v>贷</v>
      </c>
    </row>
    <row r="164" spans="1:12">
      <c r="A164" s="122" t="s">
        <v>1095</v>
      </c>
      <c r="B164" s="112" t="s">
        <v>1096</v>
      </c>
      <c r="C164" s="110"/>
      <c r="D164" s="110"/>
      <c r="E164" s="110"/>
      <c r="F164" s="1">
        <f>ROUND(SUMIF(本期ETY!D:D,B164,本期ETY!F:F),2)</f>
        <v>0</v>
      </c>
      <c r="G164" s="1">
        <f>ROUND(SUMIF(本期ETY!D:D,B164,本期ETY!G:G),2)</f>
        <v>0</v>
      </c>
      <c r="H164" s="114">
        <f t="shared" si="27"/>
        <v>0</v>
      </c>
      <c r="I164" s="1" t="s">
        <v>1096</v>
      </c>
      <c r="K164" s="1" t="s">
        <v>832</v>
      </c>
      <c r="L164" s="1" t="str">
        <f>_xlfn.IFNA(VLOOKUP(I164,科目余额表!B:M,11,0),K164)</f>
        <v>贷</v>
      </c>
    </row>
    <row r="165" spans="1:12">
      <c r="A165" s="122" t="s">
        <v>1097</v>
      </c>
      <c r="B165" s="112" t="s">
        <v>72</v>
      </c>
      <c r="C165" s="110"/>
      <c r="D165" s="110"/>
      <c r="E165" s="110">
        <f>E255</f>
        <v>0</v>
      </c>
      <c r="F165" s="1">
        <f>ROUND(SUMIF(本期ETY!D:D,B165,本期ETY!F:F),2)</f>
        <v>0</v>
      </c>
      <c r="G165" s="1">
        <f>ROUND(SUMIF(本期ETY!D:D,B165,本期ETY!G:G),2)</f>
        <v>0</v>
      </c>
      <c r="H165" s="114">
        <f>H255</f>
        <v>0</v>
      </c>
      <c r="I165" s="1" t="s">
        <v>72</v>
      </c>
      <c r="K165" s="1" t="s">
        <v>832</v>
      </c>
      <c r="L165" s="1" t="str">
        <f>_xlfn.IFNA(VLOOKUP(I165,科目余额表!B:M,11,0),K165)</f>
        <v>贷</v>
      </c>
    </row>
    <row r="166" spans="1:12">
      <c r="A166" s="122" t="s">
        <v>1098</v>
      </c>
      <c r="B166" s="112"/>
      <c r="C166" s="117"/>
      <c r="D166" s="117"/>
      <c r="E166" s="117" t="str">
        <f t="shared" ref="E166:H166" si="28">IF((SUM(E155:E159,E161:E165)-E160-E157-E158)&lt;&gt;0,(SUM(E155:E159,E161:E165)-E160-E157-E158),"")</f>
        <v/>
      </c>
      <c r="F166" s="117" t="str">
        <f t="shared" si="28"/>
        <v/>
      </c>
      <c r="G166" s="117" t="str">
        <f t="shared" si="28"/>
        <v/>
      </c>
      <c r="H166" s="117" t="str">
        <f t="shared" si="28"/>
        <v/>
      </c>
      <c r="L166" s="1">
        <f>_xlfn.IFNA(VLOOKUP(I166,科目余额表!B:M,11,0),K166)</f>
        <v>0</v>
      </c>
    </row>
    <row r="167" spans="1:12">
      <c r="A167" s="122" t="s">
        <v>1099</v>
      </c>
      <c r="B167" s="112" t="s">
        <v>1100</v>
      </c>
      <c r="C167" s="110"/>
      <c r="D167" s="110"/>
      <c r="E167" s="110"/>
      <c r="F167" s="1">
        <f>ROUND(SUMIF(本期ETY!D:D,B167,本期ETY!F:F),2)</f>
        <v>0</v>
      </c>
      <c r="G167" s="1">
        <f>ROUND(SUMIF(本期ETY!D:D,B167,本期ETY!G:G),2)</f>
        <v>0</v>
      </c>
      <c r="H167" s="114">
        <f t="shared" ref="H167" si="29">ROUND(E167-F167+G167,2)</f>
        <v>0</v>
      </c>
      <c r="I167" s="1" t="s">
        <v>1100</v>
      </c>
      <c r="K167" s="1" t="s">
        <v>832</v>
      </c>
      <c r="L167" s="1" t="str">
        <f>_xlfn.IFNA(VLOOKUP(I167,科目余额表!B:M,11,0),K167)</f>
        <v>贷</v>
      </c>
    </row>
    <row r="168" spans="1:12">
      <c r="A168" s="125" t="s">
        <v>1101</v>
      </c>
      <c r="B168" s="112"/>
      <c r="C168" s="118"/>
      <c r="D168" s="118"/>
      <c r="E168" s="118">
        <f t="shared" ref="E168" si="30">SUM(E166:E167)</f>
        <v>0</v>
      </c>
      <c r="F168" s="118">
        <f t="shared" ref="F168:H168" si="31">SUM(F166:F167)</f>
        <v>0</v>
      </c>
      <c r="G168" s="118">
        <f t="shared" si="31"/>
        <v>0</v>
      </c>
      <c r="H168" s="118">
        <f t="shared" si="31"/>
        <v>0</v>
      </c>
    </row>
    <row r="169" spans="1:12">
      <c r="A169" s="125" t="s">
        <v>1102</v>
      </c>
      <c r="B169" s="112"/>
      <c r="C169" s="118"/>
      <c r="D169" s="118"/>
      <c r="E169" s="118">
        <f t="shared" ref="E169:H169" si="32">SUM(E153,E168)</f>
        <v>0</v>
      </c>
      <c r="F169" s="118">
        <f t="shared" si="32"/>
        <v>0</v>
      </c>
      <c r="G169" s="118">
        <f t="shared" si="32"/>
        <v>0</v>
      </c>
      <c r="H169" s="118">
        <f t="shared" si="32"/>
        <v>0</v>
      </c>
    </row>
    <row r="170" spans="1:12">
      <c r="A170" s="124" t="s">
        <v>1103</v>
      </c>
      <c r="B170" s="112"/>
      <c r="C170" s="2"/>
      <c r="D170" s="2"/>
      <c r="E170" s="126">
        <f>SUM(E171:E176)-E172-E173</f>
        <v>0</v>
      </c>
      <c r="F170" s="126">
        <f t="shared" ref="F170:H170" si="33">SUM(F171:F176)-F172-F173</f>
        <v>0</v>
      </c>
      <c r="G170" s="126">
        <f t="shared" si="33"/>
        <v>0</v>
      </c>
      <c r="H170" s="126">
        <f t="shared" si="33"/>
        <v>0</v>
      </c>
    </row>
    <row r="171" spans="1:12">
      <c r="A171" s="123" t="s">
        <v>1104</v>
      </c>
      <c r="B171" s="112" t="s">
        <v>86</v>
      </c>
      <c r="C171" s="2"/>
      <c r="D171" s="2"/>
      <c r="E171" s="110">
        <f>SUM(E172:E173)</f>
        <v>0</v>
      </c>
      <c r="F171" s="110">
        <f t="shared" ref="F171:G171" si="34">SUM(F172:F173)</f>
        <v>0</v>
      </c>
      <c r="G171" s="110">
        <f t="shared" si="34"/>
        <v>0</v>
      </c>
      <c r="H171" s="114">
        <f t="shared" ref="H171:H176" si="35">ROUND(E171-F171+G171,2)</f>
        <v>0</v>
      </c>
      <c r="I171" s="1" t="s">
        <v>1105</v>
      </c>
    </row>
    <row r="172" spans="1:12">
      <c r="A172" s="123" t="s">
        <v>1106</v>
      </c>
      <c r="B172" s="112" t="s">
        <v>1107</v>
      </c>
      <c r="C172" s="2"/>
      <c r="D172" s="2"/>
      <c r="E172" s="113">
        <f>_xlfn.IFNA(VLOOKUP(I172,科目余额表!B:M,10,0),0)</f>
        <v>0</v>
      </c>
      <c r="F172" s="1">
        <f>ROUND(SUMIF(本期ETY!D:D,B172,本期ETY!F:F),2)</f>
        <v>0</v>
      </c>
      <c r="G172" s="1">
        <f>ROUND(SUMIF(本期ETY!D:D,B172,本期ETY!G:G),2)</f>
        <v>0</v>
      </c>
      <c r="H172" s="114">
        <f t="shared" si="35"/>
        <v>0</v>
      </c>
      <c r="I172" s="1" t="s">
        <v>768</v>
      </c>
    </row>
    <row r="173" spans="1:12">
      <c r="A173" s="123" t="s">
        <v>1108</v>
      </c>
      <c r="B173" s="112" t="s">
        <v>1109</v>
      </c>
      <c r="C173" s="2"/>
      <c r="D173" s="2"/>
      <c r="E173" s="113">
        <f>_xlfn.IFNA(VLOOKUP(I173,科目余额表!B:M,10,0),0)</f>
        <v>0</v>
      </c>
      <c r="F173" s="1">
        <f>ROUND(SUMIF(本期ETY!D:D,B173,本期ETY!F:F),2)</f>
        <v>0</v>
      </c>
      <c r="G173" s="1">
        <f>ROUND(SUMIF(本期ETY!D:D,B173,本期ETY!G:G),2)</f>
        <v>0</v>
      </c>
      <c r="H173" s="114">
        <f t="shared" si="35"/>
        <v>0</v>
      </c>
      <c r="I173" s="1" t="s">
        <v>769</v>
      </c>
    </row>
    <row r="174" spans="1:12">
      <c r="A174" s="123" t="s">
        <v>1110</v>
      </c>
      <c r="B174" s="112"/>
      <c r="C174" s="2"/>
      <c r="D174" s="2"/>
      <c r="E174" s="113">
        <f>_xlfn.IFNA(VLOOKUP(I174,科目余额表!B:M,10,0),0)</f>
        <v>0</v>
      </c>
      <c r="F174" s="1">
        <f>ROUND(SUMIF(本期ETY!D:D,B174,本期ETY!F:F),2)</f>
        <v>0</v>
      </c>
      <c r="G174" s="1">
        <f>ROUND(SUMIF(本期ETY!D:D,B174,本期ETY!G:G),2)</f>
        <v>0</v>
      </c>
      <c r="H174" s="114">
        <f t="shared" si="35"/>
        <v>0</v>
      </c>
    </row>
    <row r="175" spans="1:12">
      <c r="A175" s="123" t="s">
        <v>1111</v>
      </c>
      <c r="B175" s="112" t="s">
        <v>1112</v>
      </c>
      <c r="C175" s="2"/>
      <c r="E175" s="113">
        <f>_xlfn.IFNA(VLOOKUP(I175,科目余额表!B:M,10,0),0)</f>
        <v>0</v>
      </c>
      <c r="F175" s="1">
        <f>ROUND(SUMIF(本期ETY!D:D,B175,本期ETY!F:F),2)</f>
        <v>0</v>
      </c>
      <c r="G175" s="1">
        <f>ROUND(SUMIF(本期ETY!D:D,B175,本期ETY!G:G),2)</f>
        <v>0</v>
      </c>
      <c r="H175" s="114">
        <f t="shared" si="35"/>
        <v>0</v>
      </c>
      <c r="I175" s="1" t="s">
        <v>1112</v>
      </c>
    </row>
    <row r="176" spans="1:12">
      <c r="A176" s="123" t="s">
        <v>1113</v>
      </c>
      <c r="B176" s="112" t="s">
        <v>1114</v>
      </c>
      <c r="C176" s="2"/>
      <c r="E176" s="113">
        <f>_xlfn.IFNA(VLOOKUP(I176,科目余额表!B:M,10,0),0)</f>
        <v>0</v>
      </c>
      <c r="F176" s="1">
        <f>ROUND(SUMIF(本期ETY!D:D,B176,本期ETY!F:F),2)</f>
        <v>0</v>
      </c>
      <c r="G176" s="1">
        <f>ROUND(SUMIF(本期ETY!D:D,B176,本期ETY!G:G),2)</f>
        <v>0</v>
      </c>
      <c r="H176" s="114">
        <f t="shared" si="35"/>
        <v>0</v>
      </c>
      <c r="I176" s="1" t="s">
        <v>1114</v>
      </c>
    </row>
    <row r="177" spans="1:9">
      <c r="A177" s="124" t="s">
        <v>1115</v>
      </c>
      <c r="B177" s="112"/>
      <c r="C177" s="2"/>
      <c r="D177" s="126"/>
      <c r="E177" s="126">
        <f>SUM(E178:E192)-E179-E180</f>
        <v>0</v>
      </c>
      <c r="F177" s="126">
        <f t="shared" ref="F177:H177" si="36">SUM(F178:F192)-F179-F180</f>
        <v>0</v>
      </c>
      <c r="G177" s="126">
        <f t="shared" si="36"/>
        <v>0</v>
      </c>
      <c r="H177" s="126">
        <f t="shared" si="36"/>
        <v>0</v>
      </c>
    </row>
    <row r="178" spans="1:9">
      <c r="A178" s="122" t="s">
        <v>1116</v>
      </c>
      <c r="B178" s="112" t="s">
        <v>1117</v>
      </c>
      <c r="C178" s="3"/>
      <c r="E178" s="110">
        <f>SUM(E179:E180)</f>
        <v>0</v>
      </c>
      <c r="F178" s="110">
        <f t="shared" ref="F178:H178" si="37">SUM(F179:F180)</f>
        <v>0</v>
      </c>
      <c r="G178" s="110">
        <f t="shared" si="37"/>
        <v>0</v>
      </c>
      <c r="H178" s="110">
        <f t="shared" si="37"/>
        <v>0</v>
      </c>
      <c r="I178" s="1" t="s">
        <v>1118</v>
      </c>
    </row>
    <row r="179" spans="1:9">
      <c r="A179" s="122" t="s">
        <v>1119</v>
      </c>
      <c r="B179" s="112" t="s">
        <v>1120</v>
      </c>
      <c r="C179" s="3"/>
      <c r="E179" s="113">
        <f>_xlfn.IFNA(VLOOKUP(I179,科目余额表!B:M,9,0),0)</f>
        <v>0</v>
      </c>
      <c r="F179" s="1">
        <f>ROUND(SUMIF(本期ETY!D:D,B179,本期ETY!F:F),2)</f>
        <v>0</v>
      </c>
      <c r="G179" s="1">
        <f>ROUND(SUMIF(本期ETY!D:D,B179,本期ETY!G:G),2)</f>
        <v>0</v>
      </c>
      <c r="H179" s="114">
        <f t="shared" ref="H179:H192" si="38">ROUND(E179+F179-G179,2)</f>
        <v>0</v>
      </c>
      <c r="I179" s="1" t="s">
        <v>773</v>
      </c>
    </row>
    <row r="180" spans="1:9">
      <c r="A180" s="122" t="s">
        <v>1121</v>
      </c>
      <c r="B180" s="112" t="s">
        <v>1122</v>
      </c>
      <c r="C180" s="3"/>
      <c r="E180" s="113">
        <f>_xlfn.IFNA(VLOOKUP(I180,科目余额表!B:M,9,0),0)</f>
        <v>0</v>
      </c>
      <c r="F180" s="1">
        <f>ROUND(SUMIF(本期ETY!D:D,B180,本期ETY!F:F),2)</f>
        <v>0</v>
      </c>
      <c r="G180" s="1">
        <f>ROUND(SUMIF(本期ETY!D:D,B180,本期ETY!G:G),2)</f>
        <v>0</v>
      </c>
      <c r="H180" s="114">
        <f t="shared" si="38"/>
        <v>0</v>
      </c>
      <c r="I180" s="1" t="s">
        <v>774</v>
      </c>
    </row>
    <row r="181" spans="1:9">
      <c r="A181" s="122" t="s">
        <v>1123</v>
      </c>
      <c r="B181" s="112"/>
      <c r="C181" s="3"/>
      <c r="E181" s="113">
        <f>_xlfn.IFNA(VLOOKUP(I181,科目余额表!B:M,9,0),0)</f>
        <v>0</v>
      </c>
      <c r="F181" s="1">
        <f>ROUND(SUMIF(本期ETY!D:D,B181,本期ETY!F:F),2)</f>
        <v>0</v>
      </c>
      <c r="G181" s="1">
        <f>ROUND(SUMIF(本期ETY!D:D,B181,本期ETY!G:G),2)</f>
        <v>0</v>
      </c>
      <c r="H181" s="114">
        <f t="shared" si="38"/>
        <v>0</v>
      </c>
    </row>
    <row r="182" spans="1:9">
      <c r="A182" s="122" t="s">
        <v>1124</v>
      </c>
      <c r="B182" s="112" t="s">
        <v>1125</v>
      </c>
      <c r="C182" s="3"/>
      <c r="D182" s="3"/>
      <c r="E182" s="113">
        <f>_xlfn.IFNA(VLOOKUP(I182,科目余额表!B:M,9,0),0)</f>
        <v>0</v>
      </c>
      <c r="F182" s="1">
        <f>ROUND(SUMIF(本期ETY!D:D,B182,本期ETY!F:F),2)</f>
        <v>0</v>
      </c>
      <c r="G182" s="1">
        <f>ROUND(SUMIF(本期ETY!D:D,B182,本期ETY!G:G),2)</f>
        <v>0</v>
      </c>
      <c r="H182" s="114">
        <f t="shared" si="38"/>
        <v>0</v>
      </c>
      <c r="I182" s="1" t="s">
        <v>1125</v>
      </c>
    </row>
    <row r="183" spans="1:9">
      <c r="A183" s="122" t="s">
        <v>1126</v>
      </c>
      <c r="B183" s="112" t="s">
        <v>1127</v>
      </c>
      <c r="C183" s="3"/>
      <c r="D183" s="3"/>
      <c r="E183" s="113">
        <f>_xlfn.IFNA(VLOOKUP(I183,科目余额表!B:M,9,0),0)</f>
        <v>0</v>
      </c>
      <c r="F183" s="1">
        <f>ROUND(SUMIF(本期ETY!D:D,B183,本期ETY!F:F),2)</f>
        <v>0</v>
      </c>
      <c r="G183" s="1">
        <f>ROUND(SUMIF(本期ETY!D:D,B183,本期ETY!G:G),2)</f>
        <v>0</v>
      </c>
      <c r="H183" s="114">
        <f t="shared" si="38"/>
        <v>0</v>
      </c>
      <c r="I183" s="1" t="s">
        <v>1127</v>
      </c>
    </row>
    <row r="184" spans="1:9">
      <c r="A184" s="122" t="s">
        <v>1128</v>
      </c>
      <c r="B184" s="112" t="s">
        <v>1129</v>
      </c>
      <c r="C184" s="3"/>
      <c r="D184" s="3"/>
      <c r="E184" s="113">
        <f>_xlfn.IFNA(VLOOKUP(I184,科目余额表!B:M,9,0),0)</f>
        <v>0</v>
      </c>
      <c r="F184" s="1">
        <f>ROUND(SUMIF(本期ETY!D:D,B184,本期ETY!F:F),2)</f>
        <v>0</v>
      </c>
      <c r="G184" s="1">
        <f>ROUND(SUMIF(本期ETY!D:D,B184,本期ETY!G:G),2)</f>
        <v>0</v>
      </c>
      <c r="H184" s="114">
        <f t="shared" si="38"/>
        <v>0</v>
      </c>
      <c r="I184" s="1" t="s">
        <v>1129</v>
      </c>
    </row>
    <row r="185" spans="1:9">
      <c r="A185" s="122" t="s">
        <v>1130</v>
      </c>
      <c r="B185" s="112" t="s">
        <v>1131</v>
      </c>
      <c r="C185" s="3"/>
      <c r="D185" s="3"/>
      <c r="E185" s="113">
        <f>_xlfn.IFNA(VLOOKUP(I185,科目余额表!B:M,9,0),0)</f>
        <v>0</v>
      </c>
      <c r="F185" s="1">
        <f>ROUND(SUMIF(本期ETY!D:D,B185,本期ETY!F:F),2)</f>
        <v>0</v>
      </c>
      <c r="G185" s="1">
        <f>ROUND(SUMIF(本期ETY!D:D,B185,本期ETY!G:G),2)</f>
        <v>0</v>
      </c>
      <c r="H185" s="114">
        <f t="shared" si="38"/>
        <v>0</v>
      </c>
      <c r="I185" s="1" t="s">
        <v>1131</v>
      </c>
    </row>
    <row r="186" spans="1:9">
      <c r="A186" s="122" t="s">
        <v>1132</v>
      </c>
      <c r="B186" s="112" t="s">
        <v>1133</v>
      </c>
      <c r="C186" s="3"/>
      <c r="D186" s="3"/>
      <c r="E186" s="113">
        <f>_xlfn.IFNA(VLOOKUP(I186,科目余额表!B:M,9,0),0)</f>
        <v>0</v>
      </c>
      <c r="F186" s="1">
        <f>ROUND(SUMIF(本期ETY!D:D,B186,本期ETY!F:F),2)</f>
        <v>0</v>
      </c>
      <c r="G186" s="1">
        <f>ROUND(SUMIF(本期ETY!D:D,B186,本期ETY!G:G),2)</f>
        <v>0</v>
      </c>
      <c r="H186" s="114">
        <f t="shared" si="38"/>
        <v>0</v>
      </c>
      <c r="I186" s="1" t="s">
        <v>1133</v>
      </c>
    </row>
    <row r="187" spans="1:9">
      <c r="A187" s="122" t="s">
        <v>1134</v>
      </c>
      <c r="B187" s="112" t="s">
        <v>1135</v>
      </c>
      <c r="C187" s="3"/>
      <c r="D187" s="3"/>
      <c r="E187" s="113">
        <f>_xlfn.IFNA(VLOOKUP(I187,科目余额表!B:M,9,0),0)</f>
        <v>0</v>
      </c>
      <c r="F187" s="1">
        <f>ROUND(SUMIF(本期ETY!D:D,B187,本期ETY!F:F),2)</f>
        <v>0</v>
      </c>
      <c r="G187" s="1">
        <f>ROUND(SUMIF(本期ETY!D:D,B187,本期ETY!G:G),2)</f>
        <v>0</v>
      </c>
      <c r="H187" s="114">
        <f t="shared" si="38"/>
        <v>0</v>
      </c>
      <c r="I187" s="1" t="s">
        <v>1135</v>
      </c>
    </row>
    <row r="188" spans="1:9">
      <c r="A188" s="122" t="s">
        <v>1136</v>
      </c>
      <c r="B188" s="112" t="s">
        <v>1137</v>
      </c>
      <c r="C188" s="4"/>
      <c r="D188" s="4"/>
      <c r="E188" s="113">
        <f>_xlfn.IFNA(VLOOKUP(I188,科目余额表!B:M,9,0),0)</f>
        <v>0</v>
      </c>
      <c r="F188" s="1">
        <f>ROUND(SUMIF(本期ETY!D:D,B188,本期ETY!F:F),2)</f>
        <v>0</v>
      </c>
      <c r="G188" s="1">
        <f>ROUND(SUMIF(本期ETY!D:D,B188,本期ETY!G:G),2)</f>
        <v>0</v>
      </c>
      <c r="H188" s="114">
        <f t="shared" si="38"/>
        <v>0</v>
      </c>
      <c r="I188" s="1" t="s">
        <v>775</v>
      </c>
    </row>
    <row r="189" spans="1:9">
      <c r="A189" s="122" t="s">
        <v>1138</v>
      </c>
      <c r="B189" s="112" t="s">
        <v>776</v>
      </c>
      <c r="C189" s="4"/>
      <c r="D189" s="4"/>
      <c r="E189" s="113">
        <f>_xlfn.IFNA(VLOOKUP(I189,科目余额表!B:M,9,0),0)</f>
        <v>0</v>
      </c>
      <c r="F189" s="1">
        <f>ROUND(SUMIF(本期ETY!D:D,B189,本期ETY!F:F),2)</f>
        <v>0</v>
      </c>
      <c r="G189" s="1">
        <f>ROUND(SUMIF(本期ETY!D:D,B189,本期ETY!G:G),2)</f>
        <v>0</v>
      </c>
      <c r="H189" s="114">
        <f t="shared" si="38"/>
        <v>0</v>
      </c>
      <c r="I189" s="1" t="s">
        <v>776</v>
      </c>
    </row>
    <row r="190" spans="1:9">
      <c r="A190" s="122" t="s">
        <v>1139</v>
      </c>
      <c r="B190" s="112" t="s">
        <v>777</v>
      </c>
      <c r="C190" s="4"/>
      <c r="D190" s="4"/>
      <c r="E190" s="113">
        <f>_xlfn.IFNA(VLOOKUP(I190,科目余额表!B:M,9,0),0)</f>
        <v>0</v>
      </c>
      <c r="F190" s="1">
        <f>ROUND(SUMIF(本期ETY!D:D,B190,本期ETY!F:F),2)</f>
        <v>0</v>
      </c>
      <c r="G190" s="1">
        <f>ROUND(SUMIF(本期ETY!D:D,B190,本期ETY!G:G),2)</f>
        <v>0</v>
      </c>
      <c r="H190" s="114">
        <f t="shared" si="38"/>
        <v>0</v>
      </c>
      <c r="I190" s="1" t="s">
        <v>777</v>
      </c>
    </row>
    <row r="191" spans="1:9">
      <c r="A191" s="122" t="s">
        <v>1140</v>
      </c>
      <c r="B191" s="112" t="s">
        <v>1141</v>
      </c>
      <c r="C191" s="4"/>
      <c r="D191" s="4"/>
      <c r="E191" s="113">
        <f>_xlfn.IFNA(VLOOKUP(I191,科目余额表!B:M,9,0),0)</f>
        <v>0</v>
      </c>
      <c r="F191" s="1">
        <f>ROUND(SUMIF(本期ETY!D:D,B191,本期ETY!F:F),2)</f>
        <v>0</v>
      </c>
      <c r="G191" s="1">
        <f>ROUND(SUMIF(本期ETY!D:D,B191,本期ETY!G:G),2)</f>
        <v>0</v>
      </c>
      <c r="H191" s="114">
        <f t="shared" si="38"/>
        <v>0</v>
      </c>
      <c r="I191" s="1" t="s">
        <v>1141</v>
      </c>
    </row>
    <row r="192" spans="1:9">
      <c r="A192" s="122" t="s">
        <v>1142</v>
      </c>
      <c r="B192" s="112" t="s">
        <v>778</v>
      </c>
      <c r="C192" s="127"/>
      <c r="D192" s="127"/>
      <c r="E192" s="113">
        <f>_xlfn.IFNA(VLOOKUP(I192,科目余额表!B:M,9,0),0)</f>
        <v>0</v>
      </c>
      <c r="F192" s="1">
        <f>ROUND(SUMIF(本期ETY!D:D,B192,本期ETY!F:F),2)</f>
        <v>0</v>
      </c>
      <c r="G192" s="1">
        <f>ROUND(SUMIF(本期ETY!D:D,B192,本期ETY!G:G),2)</f>
        <v>0</v>
      </c>
      <c r="H192" s="114">
        <f t="shared" si="38"/>
        <v>0</v>
      </c>
      <c r="I192" s="1" t="s">
        <v>778</v>
      </c>
    </row>
    <row r="193" spans="1:9">
      <c r="A193" s="122" t="s">
        <v>1143</v>
      </c>
      <c r="B193" s="112" t="s">
        <v>1144</v>
      </c>
      <c r="C193" s="127"/>
      <c r="D193" s="127"/>
      <c r="E193" s="113">
        <f>_xlfn.IFNA(VLOOKUP(I193,科目余额表!B:M,10,0),0)</f>
        <v>0</v>
      </c>
      <c r="F193" s="1">
        <f>ROUND(SUMIF(本期ETY!D:D,B193,本期ETY!F:F),2)</f>
        <v>0</v>
      </c>
      <c r="G193" s="1">
        <f>ROUND(SUMIF(本期ETY!D:D,B193,本期ETY!G:G),2)</f>
        <v>0</v>
      </c>
      <c r="H193" s="114">
        <f t="shared" ref="H193:H204" si="39">ROUND(E193-F193+G193,2)</f>
        <v>0</v>
      </c>
      <c r="I193" s="1" t="s">
        <v>770</v>
      </c>
    </row>
    <row r="194" spans="1:9">
      <c r="A194" s="122" t="s">
        <v>1145</v>
      </c>
      <c r="B194" s="112" t="s">
        <v>1146</v>
      </c>
      <c r="C194" s="127"/>
      <c r="D194" s="127"/>
      <c r="E194" s="113">
        <f>_xlfn.IFNA(VLOOKUP(I194,科目余额表!B:M,10,0),0)</f>
        <v>0</v>
      </c>
      <c r="F194" s="1">
        <f>ROUND(SUMIF(本期ETY!D:D,B194,本期ETY!F:F),2)</f>
        <v>0</v>
      </c>
      <c r="G194" s="1">
        <f>ROUND(SUMIF(本期ETY!D:D,B194,本期ETY!G:G),2)</f>
        <v>0</v>
      </c>
      <c r="H194" s="114">
        <f t="shared" si="39"/>
        <v>0</v>
      </c>
      <c r="I194" s="1" t="s">
        <v>771</v>
      </c>
    </row>
    <row r="195" spans="1:9">
      <c r="A195" s="122" t="s">
        <v>1147</v>
      </c>
      <c r="B195" s="112"/>
      <c r="C195" s="127"/>
      <c r="D195" s="127"/>
      <c r="E195" s="126"/>
      <c r="H195" s="114">
        <f t="shared" si="39"/>
        <v>0</v>
      </c>
    </row>
    <row r="196" spans="1:9">
      <c r="A196" s="122" t="s">
        <v>1148</v>
      </c>
      <c r="B196" s="112"/>
      <c r="C196" s="127"/>
      <c r="D196" s="128" t="s">
        <v>823</v>
      </c>
      <c r="E196" s="126"/>
      <c r="H196" s="114">
        <f t="shared" si="39"/>
        <v>0</v>
      </c>
    </row>
    <row r="197" spans="1:9">
      <c r="A197" s="122" t="s">
        <v>1149</v>
      </c>
      <c r="B197" s="112" t="s">
        <v>1150</v>
      </c>
      <c r="C197" s="127"/>
      <c r="D197" s="128" t="s">
        <v>823</v>
      </c>
      <c r="E197" s="113">
        <f>_xlfn.IFNA(VLOOKUP(I197,科目余额表!B:M,10,0),0)</f>
        <v>0</v>
      </c>
      <c r="F197" s="1">
        <f>ROUND(SUMIF(本期ETY!D:D,B197,本期ETY!F:F),2)</f>
        <v>0</v>
      </c>
      <c r="G197" s="1">
        <f>ROUND(SUMIF(本期ETY!D:D,B197,本期ETY!G:G),2)</f>
        <v>0</v>
      </c>
      <c r="H197" s="114">
        <f t="shared" si="39"/>
        <v>0</v>
      </c>
      <c r="I197" s="1" t="s">
        <v>1151</v>
      </c>
    </row>
    <row r="198" spans="1:9">
      <c r="A198" s="122" t="s">
        <v>1152</v>
      </c>
      <c r="B198" s="112" t="s">
        <v>1153</v>
      </c>
      <c r="C198" s="127"/>
      <c r="D198" s="127"/>
      <c r="E198" s="113">
        <f>_xlfn.IFNA(VLOOKUP(I198,科目余额表!B:M,10,0),0)</f>
        <v>0</v>
      </c>
      <c r="F198" s="1">
        <f>ROUND(SUMIF(本期ETY!D:D,B198,本期ETY!F:F),2)</f>
        <v>0</v>
      </c>
      <c r="G198" s="1">
        <f>ROUND(SUMIF(本期ETY!D:D,B198,本期ETY!G:G),2)</f>
        <v>0</v>
      </c>
      <c r="H198" s="114">
        <f t="shared" si="39"/>
        <v>0</v>
      </c>
      <c r="I198" s="1" t="s">
        <v>1154</v>
      </c>
    </row>
    <row r="199" spans="1:9">
      <c r="A199" s="122" t="s">
        <v>1155</v>
      </c>
      <c r="B199" s="112" t="s">
        <v>1156</v>
      </c>
      <c r="C199" s="127"/>
      <c r="D199" s="128" t="s">
        <v>823</v>
      </c>
      <c r="E199" s="113">
        <f>_xlfn.IFNA(VLOOKUP(I199,科目余额表!B:M,10,0),0)</f>
        <v>0</v>
      </c>
      <c r="F199" s="1">
        <f>ROUND(SUMIF(本期ETY!D:D,B199,本期ETY!F:F),2)</f>
        <v>0</v>
      </c>
      <c r="G199" s="1">
        <f>ROUND(SUMIF(本期ETY!D:D,B199,本期ETY!G:G),2)</f>
        <v>0</v>
      </c>
      <c r="H199" s="114">
        <f t="shared" si="39"/>
        <v>0</v>
      </c>
      <c r="I199" s="1" t="s">
        <v>1157</v>
      </c>
    </row>
    <row r="200" spans="1:9">
      <c r="A200" s="122" t="s">
        <v>1158</v>
      </c>
      <c r="B200" s="112" t="s">
        <v>1159</v>
      </c>
      <c r="C200" s="127"/>
      <c r="D200" s="127"/>
      <c r="E200" s="113">
        <f>-_xlfn.IFNA(VLOOKUP(I200,科目余额表!B:M,10,0),0)</f>
        <v>0</v>
      </c>
      <c r="F200" s="1">
        <f>ROUND(SUMIF(本期ETY!D:D,B200,本期ETY!F:F),2)</f>
        <v>0</v>
      </c>
      <c r="G200" s="1">
        <f>ROUND(SUMIF(本期ETY!D:D,B200,本期ETY!G:G),2)</f>
        <v>0</v>
      </c>
      <c r="H200" s="114">
        <f t="shared" si="39"/>
        <v>0</v>
      </c>
      <c r="I200" s="1" t="s">
        <v>779</v>
      </c>
    </row>
    <row r="201" spans="1:9">
      <c r="A201" s="122" t="s">
        <v>1160</v>
      </c>
      <c r="B201" s="112" t="s">
        <v>1161</v>
      </c>
      <c r="C201" s="127"/>
      <c r="D201" s="127"/>
      <c r="E201" s="113">
        <f>_xlfn.IFNA(VLOOKUP(I201,科目余额表!B:M,10,0),0)</f>
        <v>0</v>
      </c>
      <c r="F201" s="1">
        <f>ROUND(SUMIF(本期ETY!D:D,B201,本期ETY!F:F),2)</f>
        <v>0</v>
      </c>
      <c r="G201" s="1">
        <f>ROUND(SUMIF(本期ETY!D:D,B201,本期ETY!G:G),2)</f>
        <v>0</v>
      </c>
      <c r="H201" s="114">
        <f t="shared" si="39"/>
        <v>0</v>
      </c>
      <c r="I201" s="1" t="s">
        <v>780</v>
      </c>
    </row>
    <row r="202" spans="1:9">
      <c r="A202" s="122" t="s">
        <v>1162</v>
      </c>
      <c r="B202" s="112" t="s">
        <v>1163</v>
      </c>
      <c r="C202" s="127"/>
      <c r="D202" s="127"/>
      <c r="E202" s="110"/>
      <c r="F202" s="1">
        <f>ROUND(SUMIF(本期ETY!D:D,B202,本期ETY!F:F),2)</f>
        <v>0</v>
      </c>
      <c r="G202" s="1">
        <f>ROUND(SUMIF(本期ETY!D:D,B202,本期ETY!G:G),2)</f>
        <v>0</v>
      </c>
      <c r="H202" s="114">
        <f t="shared" si="39"/>
        <v>0</v>
      </c>
      <c r="I202" s="1" t="s">
        <v>1164</v>
      </c>
    </row>
    <row r="203" spans="1:9">
      <c r="A203" s="121" t="s">
        <v>1165</v>
      </c>
      <c r="B203" s="112"/>
      <c r="C203" s="127"/>
      <c r="D203" s="127"/>
      <c r="E203" s="127">
        <f>E170-E177+E193+E194+E202+E197+E198+E201+E199+E200</f>
        <v>0</v>
      </c>
      <c r="F203" s="127">
        <f>F170-F177+F193+F194+F202+F197+F198+F201+F199+F200</f>
        <v>0</v>
      </c>
      <c r="G203" s="127">
        <f>G170-G177+G193+G194+G202+G197+G198+G201+G199+G200</f>
        <v>0</v>
      </c>
      <c r="H203" s="127">
        <f>H170-H177+H193+H194+H202+H197+H198+H201+H199+H200</f>
        <v>0</v>
      </c>
    </row>
    <row r="204" spans="1:9">
      <c r="A204" s="122" t="s">
        <v>1166</v>
      </c>
      <c r="B204" s="112" t="s">
        <v>1167</v>
      </c>
      <c r="C204" s="127"/>
      <c r="D204" s="127"/>
      <c r="E204" s="113">
        <f>_xlfn.IFNA(VLOOKUP(I204,科目余额表!B:M,10,0),0)</f>
        <v>0</v>
      </c>
      <c r="F204" s="1">
        <f>ROUND(SUMIF(本期ETY!D:D,B204,本期ETY!F:F),2)</f>
        <v>0</v>
      </c>
      <c r="G204" s="1">
        <f>ROUND(SUMIF(本期ETY!D:D,B204,本期ETY!G:G),2)</f>
        <v>0</v>
      </c>
      <c r="H204" s="114">
        <f t="shared" si="39"/>
        <v>0</v>
      </c>
      <c r="I204" s="1" t="s">
        <v>772</v>
      </c>
    </row>
    <row r="205" spans="1:9">
      <c r="A205" s="122" t="s">
        <v>1168</v>
      </c>
      <c r="B205" s="112" t="s">
        <v>1169</v>
      </c>
      <c r="C205" s="127"/>
      <c r="D205" s="127"/>
      <c r="E205" s="113">
        <f>_xlfn.IFNA(VLOOKUP(I205,科目余额表!B:M,9,0),0)</f>
        <v>0</v>
      </c>
      <c r="F205" s="1">
        <f>ROUND(SUMIF(本期ETY!D:D,B205,本期ETY!F:F),2)</f>
        <v>0</v>
      </c>
      <c r="G205" s="1">
        <f>ROUND(SUMIF(本期ETY!D:D,B205,本期ETY!G:G),2)</f>
        <v>0</v>
      </c>
      <c r="H205" s="114">
        <f t="shared" ref="H205" si="40">ROUND(E205+F205-G205,2)</f>
        <v>0</v>
      </c>
      <c r="I205" s="1" t="s">
        <v>781</v>
      </c>
    </row>
    <row r="206" spans="1:9">
      <c r="A206" s="121" t="s">
        <v>1170</v>
      </c>
      <c r="B206" s="112"/>
      <c r="C206" s="127"/>
      <c r="D206" s="127"/>
      <c r="E206" s="127">
        <f t="shared" ref="E206:H206" si="41">E203+E204-E205</f>
        <v>0</v>
      </c>
      <c r="F206" s="127">
        <f t="shared" si="41"/>
        <v>0</v>
      </c>
      <c r="G206" s="127">
        <f t="shared" si="41"/>
        <v>0</v>
      </c>
      <c r="H206" s="127">
        <f t="shared" si="41"/>
        <v>0</v>
      </c>
    </row>
    <row r="207" spans="1:9">
      <c r="A207" s="122" t="s">
        <v>1171</v>
      </c>
      <c r="B207" s="112" t="s">
        <v>87</v>
      </c>
      <c r="C207" s="127"/>
      <c r="D207" s="127"/>
      <c r="E207" s="113">
        <f>_xlfn.IFNA(VLOOKUP(I207,科目余额表!B:M,9,0),0)</f>
        <v>0</v>
      </c>
      <c r="F207" s="1">
        <f>ROUND(SUMIF(本期ETY!D:D,B207,本期ETY!F:F),2)</f>
        <v>0</v>
      </c>
      <c r="G207" s="1">
        <f>ROUND(SUMIF(本期ETY!D:D,B207,本期ETY!G:G),2)</f>
        <v>0</v>
      </c>
      <c r="H207" s="114">
        <f t="shared" ref="H207" si="42">ROUND(E207+F207-G207,2)</f>
        <v>0</v>
      </c>
      <c r="I207" s="1" t="s">
        <v>698</v>
      </c>
    </row>
    <row r="208" spans="1:9">
      <c r="A208" s="121" t="s">
        <v>1172</v>
      </c>
      <c r="B208" s="112"/>
      <c r="C208" s="129"/>
      <c r="D208" s="129"/>
      <c r="E208" s="129">
        <f>E206-E207</f>
        <v>0</v>
      </c>
      <c r="F208" s="129"/>
      <c r="G208" s="129"/>
      <c r="H208" s="129">
        <f t="shared" ref="H208" si="43">H206-H207</f>
        <v>0</v>
      </c>
    </row>
    <row r="209" spans="1:9">
      <c r="A209" s="123" t="s">
        <v>1173</v>
      </c>
      <c r="B209" s="112"/>
      <c r="C209" s="127"/>
      <c r="D209" s="127"/>
      <c r="E209" s="126"/>
    </row>
    <row r="210" spans="1:9">
      <c r="A210" s="122" t="s">
        <v>1174</v>
      </c>
      <c r="B210" s="112"/>
      <c r="C210" s="127"/>
      <c r="D210" s="127"/>
      <c r="E210" s="126"/>
    </row>
    <row r="211" spans="1:9">
      <c r="A211" s="122" t="s">
        <v>1175</v>
      </c>
      <c r="B211" s="112"/>
      <c r="C211" s="127"/>
      <c r="D211" s="127"/>
      <c r="E211" s="126"/>
    </row>
    <row r="212" spans="1:9">
      <c r="A212" s="123" t="s">
        <v>1176</v>
      </c>
      <c r="B212" s="112"/>
      <c r="C212" s="127"/>
      <c r="D212" s="127"/>
      <c r="E212" s="126"/>
    </row>
    <row r="213" spans="1:9">
      <c r="A213" s="122" t="s">
        <v>1177</v>
      </c>
      <c r="B213" s="112" t="s">
        <v>1178</v>
      </c>
      <c r="C213" s="127"/>
      <c r="D213" s="127"/>
      <c r="E213" s="126">
        <f>E208-E214</f>
        <v>0</v>
      </c>
      <c r="F213" s="1">
        <f>ROUND(SUMIF(本期ETY!D:D,B213,本期ETY!F:F),2)</f>
        <v>0</v>
      </c>
      <c r="G213" s="1">
        <f>ROUND(SUMIF(本期ETY!D:D,B213,本期ETY!G:G),2)</f>
        <v>0</v>
      </c>
      <c r="H213" s="1">
        <f>H208-H214</f>
        <v>0</v>
      </c>
      <c r="I213" s="1" t="s">
        <v>1178</v>
      </c>
    </row>
    <row r="214" spans="1:9">
      <c r="A214" s="122" t="s">
        <v>1179</v>
      </c>
      <c r="B214" s="112" t="s">
        <v>1180</v>
      </c>
      <c r="C214" s="127"/>
      <c r="D214" s="127"/>
      <c r="E214" s="127"/>
      <c r="F214" s="127">
        <f t="shared" ref="F214:G214" si="44">F208-F213</f>
        <v>0</v>
      </c>
      <c r="G214" s="127">
        <f t="shared" si="44"/>
        <v>0</v>
      </c>
      <c r="H214" s="114">
        <f t="shared" ref="H214" si="45">ROUND(E214+F214-G214,2)</f>
        <v>0</v>
      </c>
      <c r="I214" s="1" t="s">
        <v>1180</v>
      </c>
    </row>
    <row r="215" spans="1:9">
      <c r="A215" s="124" t="s">
        <v>1181</v>
      </c>
      <c r="B215" s="112"/>
      <c r="C215" s="129"/>
      <c r="D215" s="129"/>
      <c r="E215" s="129">
        <f>E216+E233</f>
        <v>0</v>
      </c>
      <c r="F215" s="129">
        <f t="shared" ref="F215:H215" si="46">F216+F233</f>
        <v>0</v>
      </c>
      <c r="G215" s="129">
        <f t="shared" si="46"/>
        <v>0</v>
      </c>
      <c r="H215" s="129">
        <f t="shared" si="46"/>
        <v>0</v>
      </c>
    </row>
    <row r="216" spans="1:9">
      <c r="A216" s="123" t="s">
        <v>1182</v>
      </c>
      <c r="B216" s="112"/>
      <c r="C216" s="127"/>
      <c r="D216" s="127"/>
      <c r="E216" s="127">
        <f t="shared" ref="E216:H216" si="47">E217+E223</f>
        <v>0</v>
      </c>
      <c r="F216" s="127">
        <f t="shared" si="47"/>
        <v>0</v>
      </c>
      <c r="G216" s="127">
        <f t="shared" si="47"/>
        <v>0</v>
      </c>
      <c r="H216" s="127">
        <f t="shared" si="47"/>
        <v>0</v>
      </c>
    </row>
    <row r="217" spans="1:9">
      <c r="A217" s="123" t="s">
        <v>1183</v>
      </c>
      <c r="B217" s="112"/>
      <c r="C217" s="127"/>
      <c r="D217" s="127"/>
      <c r="E217" s="127">
        <f>E218+E219+E220+E221+E222</f>
        <v>0</v>
      </c>
      <c r="F217" s="127">
        <f t="shared" ref="F217:H217" si="48">F218+F219+F220+F221+F222</f>
        <v>0</v>
      </c>
      <c r="G217" s="127">
        <f t="shared" si="48"/>
        <v>0</v>
      </c>
      <c r="H217" s="127">
        <f t="shared" si="48"/>
        <v>0</v>
      </c>
    </row>
    <row r="218" spans="1:9">
      <c r="A218" s="123" t="s">
        <v>1184</v>
      </c>
      <c r="B218" s="112"/>
      <c r="C218" s="127"/>
      <c r="D218" s="127"/>
      <c r="E218" s="126"/>
      <c r="H218" s="114">
        <f t="shared" ref="H218:H222" si="49">ROUND(E218+F218-G218,2)</f>
        <v>0</v>
      </c>
    </row>
    <row r="219" spans="1:9">
      <c r="A219" s="123" t="s">
        <v>1185</v>
      </c>
      <c r="B219" s="112"/>
      <c r="C219" s="127"/>
      <c r="D219" s="127"/>
      <c r="E219" s="126"/>
      <c r="H219" s="114">
        <f t="shared" si="49"/>
        <v>0</v>
      </c>
    </row>
    <row r="220" spans="1:9">
      <c r="A220" s="123" t="s">
        <v>1186</v>
      </c>
      <c r="B220" s="112"/>
      <c r="C220" s="127"/>
      <c r="D220" s="127"/>
      <c r="E220" s="126"/>
      <c r="H220" s="114">
        <f t="shared" si="49"/>
        <v>0</v>
      </c>
    </row>
    <row r="221" spans="1:9">
      <c r="A221" s="123" t="s">
        <v>1187</v>
      </c>
      <c r="B221" s="112"/>
      <c r="C221" s="127"/>
      <c r="D221" s="127"/>
      <c r="E221" s="126"/>
      <c r="H221" s="114">
        <f t="shared" si="49"/>
        <v>0</v>
      </c>
    </row>
    <row r="222" spans="1:9">
      <c r="A222" s="123" t="s">
        <v>1188</v>
      </c>
      <c r="B222" s="112"/>
      <c r="C222" s="127"/>
      <c r="D222" s="127"/>
      <c r="E222" s="126"/>
      <c r="H222" s="114">
        <f t="shared" si="49"/>
        <v>0</v>
      </c>
    </row>
    <row r="223" spans="1:9">
      <c r="A223" s="123" t="s">
        <v>1189</v>
      </c>
      <c r="B223" s="112"/>
      <c r="C223" s="127"/>
      <c r="D223" s="127"/>
      <c r="E223" s="127">
        <f>SUM(E224:E232)</f>
        <v>0</v>
      </c>
      <c r="F223" s="127">
        <f t="shared" ref="F223:H223" si="50">SUM(F224:F232)</f>
        <v>0</v>
      </c>
      <c r="G223" s="127">
        <f t="shared" si="50"/>
        <v>0</v>
      </c>
      <c r="H223" s="127">
        <f t="shared" si="50"/>
        <v>0</v>
      </c>
    </row>
    <row r="224" spans="1:9">
      <c r="A224" s="123" t="s">
        <v>1190</v>
      </c>
      <c r="B224" s="112"/>
      <c r="C224" s="127"/>
      <c r="D224" s="127"/>
      <c r="E224" s="126"/>
      <c r="H224" s="114">
        <f t="shared" ref="H224:H233" si="51">ROUND(E224+F224-G224,2)</f>
        <v>0</v>
      </c>
    </row>
    <row r="225" spans="1:9">
      <c r="A225" s="123" t="s">
        <v>1191</v>
      </c>
      <c r="B225" s="112"/>
      <c r="C225" s="127"/>
      <c r="D225" s="127"/>
      <c r="E225" s="126"/>
      <c r="H225" s="114">
        <f t="shared" si="51"/>
        <v>0</v>
      </c>
    </row>
    <row r="226" spans="1:9">
      <c r="A226" s="123" t="s">
        <v>1192</v>
      </c>
      <c r="B226" s="112"/>
      <c r="C226" s="130" t="s">
        <v>825</v>
      </c>
      <c r="D226" s="130"/>
      <c r="E226" s="126"/>
      <c r="H226" s="114">
        <f t="shared" si="51"/>
        <v>0</v>
      </c>
    </row>
    <row r="227" spans="1:9">
      <c r="A227" s="123" t="s">
        <v>1193</v>
      </c>
      <c r="B227" s="112"/>
      <c r="C227" s="127"/>
      <c r="D227" s="127"/>
      <c r="E227" s="126"/>
      <c r="H227" s="114">
        <f t="shared" si="51"/>
        <v>0</v>
      </c>
    </row>
    <row r="228" spans="1:9">
      <c r="A228" s="123" t="s">
        <v>1194</v>
      </c>
      <c r="B228" s="112"/>
      <c r="C228" s="130" t="s">
        <v>825</v>
      </c>
      <c r="D228" s="130"/>
      <c r="E228" s="126"/>
      <c r="H228" s="114">
        <f t="shared" si="51"/>
        <v>0</v>
      </c>
    </row>
    <row r="229" spans="1:9">
      <c r="A229" s="123" t="s">
        <v>1195</v>
      </c>
      <c r="B229" s="112"/>
      <c r="C229" s="127"/>
      <c r="D229" s="127"/>
      <c r="E229" s="126"/>
      <c r="H229" s="114">
        <f t="shared" si="51"/>
        <v>0</v>
      </c>
    </row>
    <row r="230" spans="1:9">
      <c r="A230" s="123" t="s">
        <v>1196</v>
      </c>
      <c r="B230" s="112"/>
      <c r="C230" s="127"/>
      <c r="D230" s="127"/>
      <c r="E230" s="126"/>
      <c r="H230" s="114">
        <f t="shared" si="51"/>
        <v>0</v>
      </c>
    </row>
    <row r="231" spans="1:9">
      <c r="A231" s="123" t="s">
        <v>1197</v>
      </c>
      <c r="B231" s="112"/>
      <c r="C231" s="127"/>
      <c r="D231" s="127"/>
      <c r="E231" s="126"/>
      <c r="H231" s="114">
        <f t="shared" si="51"/>
        <v>0</v>
      </c>
    </row>
    <row r="232" spans="1:9">
      <c r="A232" s="123" t="s">
        <v>1198</v>
      </c>
      <c r="B232" s="112"/>
      <c r="C232" s="127"/>
      <c r="D232" s="127"/>
      <c r="E232" s="126"/>
      <c r="H232" s="114">
        <f t="shared" si="51"/>
        <v>0</v>
      </c>
    </row>
    <row r="233" spans="1:9">
      <c r="A233" s="123" t="s">
        <v>1199</v>
      </c>
      <c r="B233" s="112"/>
      <c r="C233" s="127"/>
      <c r="D233" s="127"/>
      <c r="E233" s="126"/>
      <c r="H233" s="114">
        <f t="shared" si="51"/>
        <v>0</v>
      </c>
    </row>
    <row r="234" spans="1:9">
      <c r="A234" s="124" t="s">
        <v>1200</v>
      </c>
      <c r="B234" s="112"/>
      <c r="C234" s="129"/>
      <c r="D234" s="129"/>
      <c r="E234" s="129">
        <f t="shared" ref="E234:H234" si="52">E208+E215</f>
        <v>0</v>
      </c>
      <c r="F234" s="129">
        <f t="shared" si="52"/>
        <v>0</v>
      </c>
      <c r="G234" s="129">
        <f t="shared" si="52"/>
        <v>0</v>
      </c>
      <c r="H234" s="129">
        <f t="shared" si="52"/>
        <v>0</v>
      </c>
    </row>
    <row r="235" spans="1:9">
      <c r="A235" s="122" t="s">
        <v>1201</v>
      </c>
      <c r="B235" s="112"/>
      <c r="C235" s="127"/>
      <c r="D235" s="127"/>
      <c r="E235" s="127">
        <f>E213+E216</f>
        <v>0</v>
      </c>
      <c r="F235" s="127">
        <f t="shared" ref="F235:H235" si="53">F213+F216</f>
        <v>0</v>
      </c>
      <c r="G235" s="127">
        <f t="shared" si="53"/>
        <v>0</v>
      </c>
      <c r="H235" s="127">
        <f t="shared" si="53"/>
        <v>0</v>
      </c>
    </row>
    <row r="236" spans="1:9">
      <c r="A236" s="122" t="s">
        <v>1202</v>
      </c>
      <c r="B236" s="112"/>
      <c r="C236" s="127"/>
      <c r="D236" s="127"/>
      <c r="E236" s="127">
        <f t="shared" ref="E236:H236" si="54">E214+E233</f>
        <v>0</v>
      </c>
      <c r="F236" s="127">
        <f t="shared" si="54"/>
        <v>0</v>
      </c>
      <c r="G236" s="127">
        <f t="shared" si="54"/>
        <v>0</v>
      </c>
      <c r="H236" s="127">
        <f t="shared" si="54"/>
        <v>0</v>
      </c>
    </row>
    <row r="237" spans="1:9">
      <c r="A237" s="124" t="s">
        <v>1203</v>
      </c>
      <c r="B237" s="112"/>
      <c r="C237" s="129"/>
      <c r="D237" s="129"/>
      <c r="E237" s="126"/>
    </row>
    <row r="238" spans="1:9">
      <c r="A238" s="122" t="s">
        <v>1204</v>
      </c>
      <c r="B238" s="112"/>
      <c r="C238" s="129"/>
      <c r="D238" s="129"/>
      <c r="E238" s="126"/>
    </row>
    <row r="239" spans="1:9">
      <c r="A239" s="122" t="s">
        <v>1205</v>
      </c>
      <c r="B239" s="112"/>
      <c r="C239" s="129"/>
      <c r="D239" s="129"/>
      <c r="E239" s="126"/>
    </row>
    <row r="240" spans="1:9">
      <c r="A240" s="123" t="s">
        <v>1206</v>
      </c>
      <c r="B240" s="112" t="s">
        <v>1207</v>
      </c>
      <c r="C240" s="129"/>
      <c r="D240" s="129"/>
      <c r="E240" s="131">
        <f>_xlfn.IFNA(VLOOKUP(I240,科目余额表!B:M,6,0),0)</f>
        <v>0</v>
      </c>
      <c r="F240" s="1">
        <f>ROUND(SUMIF(本期ETY!D:D,B240,本期ETY!F:F),2)</f>
        <v>0</v>
      </c>
      <c r="G240" s="1">
        <f>ROUND(SUMIF(本期ETY!D:D,B240,本期ETY!G:G),2)</f>
        <v>0</v>
      </c>
      <c r="H240" s="114">
        <f>ROUND(E240-F240+G240,2)</f>
        <v>0</v>
      </c>
      <c r="I240" s="1" t="s">
        <v>1210</v>
      </c>
    </row>
    <row r="241" spans="1:8">
      <c r="A241" s="123" t="s">
        <v>1208</v>
      </c>
      <c r="B241" s="112" t="s">
        <v>1208</v>
      </c>
      <c r="C241" s="129"/>
      <c r="D241" s="129"/>
      <c r="E241" s="132"/>
      <c r="F241" s="1">
        <f>ROUND(SUMIF(本期ETY!D:D,B241,本期ETY!F:F),2)</f>
        <v>0</v>
      </c>
      <c r="G241" s="1">
        <f>ROUND(SUMIF(本期ETY!D:D,B241,本期ETY!G:G),2)</f>
        <v>0</v>
      </c>
      <c r="H241" s="114">
        <f>ROUND(E241-F241+G241,2)</f>
        <v>0</v>
      </c>
    </row>
    <row r="242" spans="1:8">
      <c r="A242" s="122" t="s">
        <v>1209</v>
      </c>
      <c r="E242" s="110">
        <f>E240+E241</f>
        <v>0</v>
      </c>
      <c r="F242" s="1">
        <f>ROUND(SUMIF(本期ETY!D:D,B242,本期ETY!F:F),2)</f>
        <v>0</v>
      </c>
      <c r="G242" s="1">
        <f>ROUND(SUMIF(本期ETY!D:D,B242,本期ETY!G:G),2)</f>
        <v>0</v>
      </c>
      <c r="H242" s="114">
        <f>H240+H241</f>
        <v>0</v>
      </c>
    </row>
    <row r="243" spans="1:8">
      <c r="A243" s="124" t="s">
        <v>1211</v>
      </c>
      <c r="E243" s="133">
        <f>E242+E213</f>
        <v>0</v>
      </c>
      <c r="F243" s="133">
        <f>F242+F208</f>
        <v>0</v>
      </c>
      <c r="G243" s="133">
        <f>G242+G208</f>
        <v>0</v>
      </c>
      <c r="H243" s="133">
        <f>H242+H213</f>
        <v>0</v>
      </c>
    </row>
    <row r="244" spans="1:8">
      <c r="A244" s="122" t="s">
        <v>1212</v>
      </c>
      <c r="B244" s="18" t="s">
        <v>1213</v>
      </c>
      <c r="E244" s="134"/>
      <c r="F244" s="1">
        <f>ROUND(SUMIF(本期ETY!D:D,B244,本期ETY!F:F),2)</f>
        <v>0</v>
      </c>
      <c r="G244" s="1">
        <f>ROUND(SUMIF(本期ETY!D:D,B244,本期ETY!G:G),2)</f>
        <v>0</v>
      </c>
      <c r="H244" s="114">
        <f t="shared" ref="H244:H249" si="55">ROUND(E244+F244-G244,2)</f>
        <v>0</v>
      </c>
    </row>
    <row r="245" spans="1:8">
      <c r="A245" s="122" t="s">
        <v>1214</v>
      </c>
      <c r="B245" s="18" t="s">
        <v>1215</v>
      </c>
      <c r="E245" s="134"/>
      <c r="F245" s="1">
        <f>ROUND(SUMIF(本期ETY!D:D,B245,本期ETY!F:F),2)</f>
        <v>0</v>
      </c>
      <c r="G245" s="1">
        <f>ROUND(SUMIF(本期ETY!D:D,B245,本期ETY!G:G),2)</f>
        <v>0</v>
      </c>
      <c r="H245" s="114">
        <f t="shared" si="55"/>
        <v>0</v>
      </c>
    </row>
    <row r="246" spans="1:8">
      <c r="A246" s="122" t="s">
        <v>1216</v>
      </c>
      <c r="B246" s="18" t="s">
        <v>1217</v>
      </c>
      <c r="E246" s="134"/>
      <c r="F246" s="1">
        <f>ROUND(SUMIF(本期ETY!D:D,B246,本期ETY!F:F),2)</f>
        <v>0</v>
      </c>
      <c r="G246" s="1">
        <f>ROUND(SUMIF(本期ETY!D:D,B246,本期ETY!G:G),2)</f>
        <v>0</v>
      </c>
      <c r="H246" s="114">
        <f t="shared" si="55"/>
        <v>0</v>
      </c>
    </row>
    <row r="247" spans="1:8">
      <c r="A247" s="122" t="s">
        <v>1218</v>
      </c>
      <c r="B247" s="18" t="s">
        <v>1219</v>
      </c>
      <c r="E247" s="134"/>
      <c r="F247" s="1">
        <f>ROUND(SUMIF(本期ETY!D:D,B247,本期ETY!F:F),2)</f>
        <v>0</v>
      </c>
      <c r="G247" s="1">
        <f>ROUND(SUMIF(本期ETY!D:D,B247,本期ETY!G:G),2)</f>
        <v>0</v>
      </c>
      <c r="H247" s="114">
        <f t="shared" si="55"/>
        <v>0</v>
      </c>
    </row>
    <row r="248" spans="1:8">
      <c r="A248" s="122" t="s">
        <v>1220</v>
      </c>
      <c r="B248" s="18" t="s">
        <v>1221</v>
      </c>
      <c r="E248" s="134"/>
      <c r="F248" s="1">
        <f>ROUND(SUMIF(本期ETY!D:D,B248,本期ETY!F:F),2)</f>
        <v>0</v>
      </c>
      <c r="G248" s="1">
        <f>ROUND(SUMIF(本期ETY!D:D,B248,本期ETY!G:G),2)</f>
        <v>0</v>
      </c>
      <c r="H248" s="114">
        <f t="shared" si="55"/>
        <v>0</v>
      </c>
    </row>
    <row r="249" spans="1:8">
      <c r="A249" s="122" t="s">
        <v>1222</v>
      </c>
      <c r="B249" s="18" t="s">
        <v>1223</v>
      </c>
      <c r="E249" s="134"/>
      <c r="F249" s="1">
        <f>ROUND(SUMIF(本期ETY!D:D,B249,本期ETY!F:F),2)</f>
        <v>0</v>
      </c>
      <c r="G249" s="1">
        <f>ROUND(SUMIF(本期ETY!D:D,B249,本期ETY!G:G),2)</f>
        <v>0</v>
      </c>
      <c r="H249" s="114">
        <f t="shared" si="55"/>
        <v>0</v>
      </c>
    </row>
    <row r="250" spans="1:8">
      <c r="A250" s="124" t="s">
        <v>1224</v>
      </c>
      <c r="E250" s="133">
        <f>E243-SUM(E244:E249)</f>
        <v>0</v>
      </c>
      <c r="F250" s="133">
        <f t="shared" ref="F250:H250" si="56">F243-SUM(F244:F249)</f>
        <v>0</v>
      </c>
      <c r="G250" s="133">
        <f t="shared" si="56"/>
        <v>0</v>
      </c>
      <c r="H250" s="133">
        <f t="shared" si="56"/>
        <v>0</v>
      </c>
    </row>
    <row r="251" spans="1:8">
      <c r="A251" s="122" t="s">
        <v>1225</v>
      </c>
      <c r="B251" s="18" t="s">
        <v>1226</v>
      </c>
      <c r="E251" s="134"/>
      <c r="F251" s="1">
        <f>ROUND(SUMIF(本期ETY!D:D,B251,本期ETY!F:F),2)</f>
        <v>0</v>
      </c>
      <c r="G251" s="1">
        <f>ROUND(SUMIF(本期ETY!D:D,B251,本期ETY!G:G),2)</f>
        <v>0</v>
      </c>
      <c r="H251" s="114">
        <f t="shared" ref="H251:H254" si="57">ROUND(E251+F251-G251,2)</f>
        <v>0</v>
      </c>
    </row>
    <row r="252" spans="1:8">
      <c r="A252" s="122" t="s">
        <v>1227</v>
      </c>
      <c r="B252" s="18" t="s">
        <v>1228</v>
      </c>
      <c r="E252" s="134"/>
      <c r="F252" s="1">
        <f>ROUND(SUMIF(本期ETY!D:D,B252,本期ETY!F:F),2)</f>
        <v>0</v>
      </c>
      <c r="G252" s="1">
        <f>ROUND(SUMIF(本期ETY!D:D,B252,本期ETY!G:G),2)</f>
        <v>0</v>
      </c>
      <c r="H252" s="114">
        <f t="shared" si="57"/>
        <v>0</v>
      </c>
    </row>
    <row r="253" spans="1:8">
      <c r="A253" s="122" t="s">
        <v>1229</v>
      </c>
      <c r="B253" s="18" t="s">
        <v>1230</v>
      </c>
      <c r="E253" s="135"/>
      <c r="F253" s="1">
        <f>ROUND(SUMIF(本期ETY!D:D,B253,本期ETY!F:F),2)</f>
        <v>0</v>
      </c>
      <c r="G253" s="1">
        <f>ROUND(SUMIF(本期ETY!D:D,B253,本期ETY!G:G),2)</f>
        <v>0</v>
      </c>
      <c r="H253" s="114">
        <f t="shared" si="57"/>
        <v>0</v>
      </c>
    </row>
    <row r="254" spans="1:8">
      <c r="A254" s="122" t="s">
        <v>1231</v>
      </c>
      <c r="B254" s="18" t="s">
        <v>1232</v>
      </c>
      <c r="E254" s="135"/>
      <c r="F254" s="1">
        <f>ROUND(SUMIF(本期ETY!D:D,B254,本期ETY!F:F),2)</f>
        <v>0</v>
      </c>
      <c r="G254" s="1">
        <f>ROUND(SUMIF(本期ETY!D:D,B254,本期ETY!G:G),2)</f>
        <v>0</v>
      </c>
      <c r="H254" s="114">
        <f t="shared" si="57"/>
        <v>0</v>
      </c>
    </row>
    <row r="255" spans="1:8">
      <c r="A255" s="124" t="s">
        <v>1233</v>
      </c>
      <c r="E255" s="133">
        <f>E250-SUM(E251:E254)</f>
        <v>0</v>
      </c>
      <c r="F255" s="133">
        <f t="shared" ref="F255:H255" si="58">F250-SUM(F251:F254)</f>
        <v>0</v>
      </c>
      <c r="G255" s="133">
        <f t="shared" si="58"/>
        <v>0</v>
      </c>
      <c r="H255" s="133">
        <f t="shared" si="58"/>
        <v>0</v>
      </c>
    </row>
    <row r="256" spans="1:8">
      <c r="A256" s="122" t="s">
        <v>1234</v>
      </c>
      <c r="E256" s="133">
        <f>E169-E108</f>
        <v>0</v>
      </c>
      <c r="H256" s="133">
        <f>H169-H108</f>
        <v>0</v>
      </c>
    </row>
    <row r="257" spans="1:8">
      <c r="A257" s="122" t="s">
        <v>1235</v>
      </c>
      <c r="H257" s="133">
        <f>H240-上期TB!H255</f>
        <v>0</v>
      </c>
    </row>
    <row r="259" spans="1:8">
      <c r="E259" s="1"/>
    </row>
    <row r="260" spans="1:8">
      <c r="E260" s="133"/>
    </row>
  </sheetData>
  <phoneticPr fontId="1" type="noConversion"/>
  <conditionalFormatting sqref="I71:L71">
    <cfRule type="uniqueValues" dxfId="17" priority="5"/>
    <cfRule type="uniqueValues" dxfId="16" priority="6"/>
  </conditionalFormatting>
  <conditionalFormatting sqref="I68:L68 K69 I69:I70">
    <cfRule type="uniqueValues" dxfId="15" priority="3"/>
    <cfRule type="uniqueValues" dxfId="14" priority="4"/>
  </conditionalFormatting>
  <conditionalFormatting sqref="K70">
    <cfRule type="uniqueValues" dxfId="13" priority="1"/>
    <cfRule type="uniqueValues" dxfId="12" priority="2"/>
  </conditionalFormatting>
  <pageMargins left="0.7" right="0.7" top="0.75" bottom="0.75" header="0.3" footer="0.3"/>
  <pageSetup paperSize="9" scale="41" orientation="portrait" horizontalDpi="4294967293" verticalDpi="0" r:id="rId1"/>
  <rowBreaks count="1" manualBreakCount="1">
    <brk id="130" max="7"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codeName="Sheet49">
    <tabColor rgb="FFFFC000"/>
  </sheetPr>
  <dimension ref="A1:D8"/>
  <sheetViews>
    <sheetView workbookViewId="0">
      <selection activeCell="G28" sqref="G28"/>
    </sheetView>
  </sheetViews>
  <sheetFormatPr defaultRowHeight="13.8"/>
  <cols>
    <col min="1" max="1" width="8.88671875" style="18"/>
    <col min="2" max="2" width="11.6640625" style="18" bestFit="1" customWidth="1"/>
    <col min="3" max="16384" width="8.88671875" style="18"/>
  </cols>
  <sheetData>
    <row r="1" spans="1:4" ht="28.8">
      <c r="A1" s="20" t="s">
        <v>160</v>
      </c>
      <c r="B1" s="20" t="s">
        <v>161</v>
      </c>
      <c r="C1" s="20" t="s">
        <v>162</v>
      </c>
      <c r="D1" s="20" t="s">
        <v>163</v>
      </c>
    </row>
    <row r="2" spans="1:4">
      <c r="A2" s="334"/>
      <c r="B2" s="335"/>
      <c r="C2" s="382"/>
      <c r="D2" s="246"/>
    </row>
    <row r="3" spans="1:4">
      <c r="A3" s="246"/>
      <c r="B3" s="246"/>
      <c r="C3" s="246"/>
      <c r="D3" s="246"/>
    </row>
    <row r="4" spans="1:4">
      <c r="A4" s="246"/>
      <c r="B4" s="246"/>
      <c r="C4" s="246"/>
      <c r="D4" s="246"/>
    </row>
    <row r="5" spans="1:4">
      <c r="A5" s="246"/>
      <c r="B5" s="246"/>
      <c r="C5" s="246"/>
      <c r="D5" s="246"/>
    </row>
    <row r="6" spans="1:4">
      <c r="A6" s="246"/>
      <c r="B6" s="246"/>
      <c r="C6" s="246"/>
      <c r="D6" s="246"/>
    </row>
    <row r="7" spans="1:4">
      <c r="A7" s="246"/>
      <c r="B7" s="246"/>
      <c r="C7" s="246"/>
      <c r="D7" s="246"/>
    </row>
    <row r="8" spans="1:4">
      <c r="A8" s="246"/>
      <c r="B8" s="246"/>
      <c r="C8" s="246"/>
      <c r="D8" s="246"/>
    </row>
  </sheetData>
  <phoneticPr fontId="1" type="noConversion"/>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sheetPr codeName="Sheet50">
    <tabColor rgb="FFFFC000"/>
  </sheetPr>
  <dimension ref="A1:J6"/>
  <sheetViews>
    <sheetView workbookViewId="0">
      <selection activeCell="F25" sqref="F25"/>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5.554687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57.6">
      <c r="A1" s="20" t="s">
        <v>166</v>
      </c>
      <c r="B1" s="32" t="s">
        <v>164</v>
      </c>
      <c r="C1" s="32" t="s">
        <v>165</v>
      </c>
      <c r="D1" s="20" t="s">
        <v>3750</v>
      </c>
      <c r="E1" s="20" t="s">
        <v>168</v>
      </c>
      <c r="F1" s="20" t="s">
        <v>169</v>
      </c>
      <c r="G1" s="32" t="s">
        <v>3749</v>
      </c>
      <c r="H1" s="32" t="s">
        <v>3751</v>
      </c>
      <c r="I1" s="32" t="s">
        <v>3752</v>
      </c>
      <c r="J1" s="32" t="s">
        <v>3753</v>
      </c>
    </row>
    <row r="2" spans="1:10" ht="28.2" customHeight="1">
      <c r="A2" s="269"/>
      <c r="B2" s="306"/>
      <c r="C2" s="306"/>
      <c r="D2" s="269"/>
      <c r="E2" s="269"/>
      <c r="F2" s="269"/>
      <c r="G2" s="306"/>
      <c r="H2" s="306"/>
      <c r="I2" s="269"/>
      <c r="J2" s="306"/>
    </row>
    <row r="3" spans="1:10" ht="14.4">
      <c r="A3" s="541"/>
      <c r="B3" s="306"/>
      <c r="C3" s="306"/>
      <c r="D3" s="541"/>
      <c r="E3" s="541"/>
      <c r="F3" s="541"/>
      <c r="G3" s="306"/>
      <c r="H3" s="306"/>
      <c r="I3" s="269"/>
      <c r="J3" s="306"/>
    </row>
    <row r="4" spans="1:10">
      <c r="A4" s="246"/>
      <c r="B4" s="246"/>
      <c r="C4" s="246"/>
      <c r="D4" s="246"/>
      <c r="E4" s="246"/>
      <c r="F4" s="246"/>
      <c r="G4" s="246"/>
      <c r="H4" s="246"/>
      <c r="I4" s="246"/>
      <c r="J4" s="246"/>
    </row>
    <row r="5" spans="1:10">
      <c r="A5" s="246"/>
      <c r="B5" s="246"/>
      <c r="C5" s="246"/>
      <c r="D5" s="246"/>
      <c r="E5" s="246"/>
      <c r="F5" s="246"/>
      <c r="G5" s="246"/>
      <c r="H5" s="246"/>
      <c r="I5" s="246"/>
      <c r="J5" s="246"/>
    </row>
    <row r="6" spans="1:10">
      <c r="A6" s="246"/>
      <c r="B6" s="246"/>
      <c r="C6" s="246"/>
      <c r="D6" s="246"/>
      <c r="E6" s="246"/>
      <c r="F6" s="246"/>
      <c r="G6" s="246"/>
      <c r="H6" s="246"/>
      <c r="I6" s="246"/>
      <c r="J6" s="246"/>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sheetPr codeName="Sheet51">
    <tabColor rgb="FFFFC000"/>
  </sheetPr>
  <dimension ref="A1:K4"/>
  <sheetViews>
    <sheetView workbookViewId="0">
      <selection activeCell="F27" sqref="F27"/>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27.109375" style="18" bestFit="1" customWidth="1"/>
    <col min="6" max="6" width="31.44140625" style="18" bestFit="1" customWidth="1"/>
    <col min="7" max="9" width="8.88671875" style="18"/>
    <col min="10" max="10" width="16.44140625" style="18" customWidth="1"/>
    <col min="11" max="11" width="18.109375" style="18" customWidth="1"/>
    <col min="12" max="16384" width="8.88671875" style="18"/>
  </cols>
  <sheetData>
    <row r="1" spans="1:11" ht="28.8" customHeight="1">
      <c r="A1" s="32" t="s">
        <v>170</v>
      </c>
      <c r="B1" s="32" t="s">
        <v>171</v>
      </c>
      <c r="C1" s="32" t="s">
        <v>172</v>
      </c>
      <c r="D1" s="20" t="s">
        <v>167</v>
      </c>
      <c r="E1" s="32" t="s">
        <v>173</v>
      </c>
      <c r="F1" s="32" t="s">
        <v>174</v>
      </c>
      <c r="G1" s="75" t="s">
        <v>168</v>
      </c>
      <c r="H1" s="32" t="s">
        <v>175</v>
      </c>
      <c r="I1" s="32" t="s">
        <v>176</v>
      </c>
      <c r="J1" s="32" t="s">
        <v>177</v>
      </c>
      <c r="K1" s="32" t="s">
        <v>3381</v>
      </c>
    </row>
    <row r="2" spans="1:11" ht="14.4">
      <c r="A2" s="306"/>
      <c r="B2" s="306"/>
      <c r="C2" s="306"/>
      <c r="D2" s="269"/>
      <c r="E2" s="269"/>
      <c r="F2" s="269"/>
      <c r="G2" s="246"/>
      <c r="H2" s="246"/>
      <c r="I2" s="246"/>
      <c r="J2" s="246"/>
      <c r="K2" s="246"/>
    </row>
    <row r="3" spans="1:11">
      <c r="A3" s="246"/>
      <c r="B3" s="246"/>
      <c r="C3" s="246"/>
      <c r="D3" s="246"/>
      <c r="E3" s="246"/>
      <c r="F3" s="246"/>
      <c r="G3" s="246"/>
      <c r="H3" s="246"/>
      <c r="I3" s="246"/>
      <c r="J3" s="246"/>
      <c r="K3" s="246"/>
    </row>
    <row r="4" spans="1:11">
      <c r="A4" s="246"/>
      <c r="B4" s="246"/>
      <c r="C4" s="246"/>
      <c r="D4" s="246"/>
      <c r="E4" s="246"/>
      <c r="F4" s="246"/>
      <c r="G4" s="246"/>
      <c r="H4" s="246"/>
      <c r="I4" s="246"/>
      <c r="J4" s="246"/>
      <c r="K4" s="246"/>
    </row>
  </sheetData>
  <phoneticPr fontId="1" type="noConversion"/>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sheetPr codeName="Sheet52">
    <tabColor rgb="FFFFC000"/>
  </sheetPr>
  <dimension ref="A1:D5"/>
  <sheetViews>
    <sheetView workbookViewId="0">
      <selection activeCell="G24" sqref="G24"/>
    </sheetView>
  </sheetViews>
  <sheetFormatPr defaultRowHeight="13.8"/>
  <cols>
    <col min="1" max="4" width="18.5546875" style="18" customWidth="1"/>
    <col min="5" max="16384" width="8.88671875" style="18"/>
  </cols>
  <sheetData>
    <row r="1" spans="1:4" ht="85.8" customHeight="1">
      <c r="A1" s="32" t="s">
        <v>178</v>
      </c>
      <c r="B1" s="32" t="s">
        <v>179</v>
      </c>
      <c r="C1" s="20" t="s">
        <v>181</v>
      </c>
      <c r="D1" s="32" t="s">
        <v>180</v>
      </c>
    </row>
    <row r="2" spans="1:4" ht="14.4">
      <c r="A2" s="306"/>
      <c r="B2" s="306"/>
      <c r="C2" s="269"/>
      <c r="D2" s="306"/>
    </row>
    <row r="3" spans="1:4">
      <c r="A3" s="246"/>
      <c r="B3" s="246"/>
      <c r="C3" s="246"/>
      <c r="D3" s="246"/>
    </row>
    <row r="4" spans="1:4">
      <c r="A4" s="246"/>
      <c r="B4" s="246"/>
      <c r="C4" s="246"/>
      <c r="D4" s="246"/>
    </row>
    <row r="5" spans="1:4">
      <c r="A5" s="246"/>
      <c r="B5" s="246"/>
      <c r="C5" s="246"/>
      <c r="D5" s="246"/>
    </row>
  </sheetData>
  <phoneticPr fontId="1" type="noConversion"/>
  <pageMargins left="0.7" right="0.7" top="0.75" bottom="0.75" header="0.3" footer="0.3"/>
  <pageSetup paperSize="9" orientation="portrait"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sheetPr codeName="Sheet53">
    <tabColor rgb="FFFFC000"/>
  </sheetPr>
  <dimension ref="A1:F4"/>
  <sheetViews>
    <sheetView workbookViewId="0">
      <selection activeCell="H29" sqref="H29"/>
    </sheetView>
  </sheetViews>
  <sheetFormatPr defaultRowHeight="13.8"/>
  <cols>
    <col min="1" max="2" width="9.5546875" style="18" bestFit="1" customWidth="1"/>
    <col min="3" max="3" width="13.88671875" style="18" bestFit="1" customWidth="1"/>
    <col min="4" max="4" width="14.21875" style="18" customWidth="1"/>
    <col min="5" max="5" width="7.5546875" style="18" bestFit="1" customWidth="1"/>
    <col min="6" max="6" width="9" style="18" customWidth="1"/>
    <col min="7" max="16384" width="8.88671875" style="18"/>
  </cols>
  <sheetData>
    <row r="1" spans="1:6" ht="28.8">
      <c r="A1" s="18" t="s">
        <v>125</v>
      </c>
      <c r="B1" s="18" t="s">
        <v>185</v>
      </c>
      <c r="C1" s="35" t="s">
        <v>182</v>
      </c>
      <c r="D1" s="35" t="s">
        <v>3687</v>
      </c>
      <c r="E1" s="20" t="s">
        <v>184</v>
      </c>
      <c r="F1" s="20" t="s">
        <v>3688</v>
      </c>
    </row>
    <row r="2" spans="1:6">
      <c r="A2" s="246"/>
      <c r="B2" s="246"/>
      <c r="C2" s="536"/>
      <c r="D2" s="274"/>
      <c r="E2" s="275"/>
      <c r="F2" s="275"/>
    </row>
    <row r="3" spans="1:6">
      <c r="A3" s="246"/>
      <c r="B3" s="246"/>
      <c r="C3" s="246"/>
      <c r="D3" s="246"/>
      <c r="E3" s="246"/>
      <c r="F3" s="246"/>
    </row>
    <row r="4" spans="1:6">
      <c r="A4" s="246"/>
      <c r="B4" s="246"/>
      <c r="C4" s="246"/>
      <c r="D4" s="246"/>
      <c r="E4" s="246"/>
      <c r="F4" s="246"/>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codeName="Sheet54">
    <tabColor rgb="FFFFC000"/>
  </sheetPr>
  <dimension ref="A1:C6"/>
  <sheetViews>
    <sheetView workbookViewId="0">
      <selection activeCell="G11" sqref="G11"/>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28</v>
      </c>
      <c r="B1" s="154" t="s">
        <v>199</v>
      </c>
      <c r="C1" s="154" t="s">
        <v>200</v>
      </c>
    </row>
    <row r="2" spans="1:3" ht="14.4">
      <c r="A2" s="551" t="s">
        <v>191</v>
      </c>
      <c r="B2" s="156">
        <f>ROUND(SUMIF(货币资金明细表!B:B,A2,货币资金明细表!F:F),2)</f>
        <v>0</v>
      </c>
      <c r="C2" s="264"/>
    </row>
    <row r="3" spans="1:3" ht="14.4">
      <c r="A3" s="551" t="s">
        <v>192</v>
      </c>
      <c r="B3" s="156">
        <f>ROUND(SUMIF(货币资金明细表!B:B,A3,货币资金明细表!F:F),2)</f>
        <v>0</v>
      </c>
      <c r="C3" s="264"/>
    </row>
    <row r="4" spans="1:3" ht="14.4">
      <c r="A4" s="551" t="s">
        <v>193</v>
      </c>
      <c r="B4" s="156">
        <f>ROUND(SUMIF(货币资金明细表!B:B,A4,货币资金明细表!F:F),2)</f>
        <v>0</v>
      </c>
      <c r="C4" s="264"/>
    </row>
    <row r="5" spans="1:3" ht="14.4">
      <c r="A5" s="35" t="s">
        <v>204</v>
      </c>
      <c r="B5" s="156">
        <f>ROUND(SUM(B2:B4),2)</f>
        <v>0</v>
      </c>
      <c r="C5" s="156">
        <f>ROUND(SUM(C2:C4),2)</f>
        <v>0</v>
      </c>
    </row>
    <row r="6" spans="1:3" ht="14.4">
      <c r="A6" s="73"/>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646BDE6-2711-4E80-AEB8-C08103A25E1B}">
          <x14:formula1>
            <xm:f>分类表!$3:$3</xm:f>
          </x14:formula1>
          <xm:sqref>A2:A4</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sheetPr codeName="Sheet55">
    <tabColor rgb="FFFFC000"/>
  </sheetPr>
  <dimension ref="A1:C9"/>
  <sheetViews>
    <sheetView zoomScale="130" zoomScaleNormal="130" workbookViewId="0">
      <pane xSplit="1" ySplit="1" topLeftCell="B2" activePane="bottomRight" state="frozen"/>
      <selection activeCell="H25" sqref="H25"/>
      <selection pane="topRight" activeCell="H25" sqref="H25"/>
      <selection pane="bottomLeft" activeCell="H25" sqref="H25"/>
      <selection pane="bottomRight" activeCell="E15" sqref="E15"/>
    </sheetView>
  </sheetViews>
  <sheetFormatPr defaultRowHeight="13.8"/>
  <cols>
    <col min="1" max="1" width="46.109375" style="18" customWidth="1"/>
    <col min="2" max="3" width="11" style="1" customWidth="1"/>
    <col min="4" max="16384" width="8.88671875" style="18"/>
  </cols>
  <sheetData>
    <row r="1" spans="1:3" ht="14.4">
      <c r="A1" s="35" t="s">
        <v>28</v>
      </c>
      <c r="B1" s="154" t="s">
        <v>199</v>
      </c>
      <c r="C1" s="154" t="s">
        <v>200</v>
      </c>
    </row>
    <row r="2" spans="1:3" ht="14.4">
      <c r="A2" s="38" t="s">
        <v>194</v>
      </c>
      <c r="B2" s="289">
        <f>ROUND(SUMIF(受限货币资金明细表!D:D,受限制的货币资金!A2,受限货币资金明细表!E:E),2)</f>
        <v>0</v>
      </c>
      <c r="C2" s="289">
        <f>ROUND(SUMIF(受限货币资金明细表!D:D,受限制的货币资金!A2,受限货币资金明细表!F:F),2)</f>
        <v>0</v>
      </c>
    </row>
    <row r="3" spans="1:3" ht="14.4">
      <c r="A3" s="38" t="s">
        <v>195</v>
      </c>
      <c r="B3" s="289">
        <f>ROUND(SUMIF(受限货币资金明细表!D:D,受限制的货币资金!A3,受限货币资金明细表!E:E),2)</f>
        <v>0</v>
      </c>
      <c r="C3" s="289">
        <f>ROUND(SUMIF(受限货币资金明细表!D:D,受限制的货币资金!A3,受限货币资金明细表!F:F),2)</f>
        <v>0</v>
      </c>
    </row>
    <row r="4" spans="1:3" ht="14.4">
      <c r="A4" s="38" t="s">
        <v>196</v>
      </c>
      <c r="B4" s="289">
        <f>ROUND(SUMIF(受限货币资金明细表!D:D,受限制的货币资金!A4,受限货币资金明细表!E:E),2)</f>
        <v>0</v>
      </c>
      <c r="C4" s="289">
        <f>ROUND(SUMIF(受限货币资金明细表!D:D,受限制的货币资金!A4,受限货币资金明细表!F:F),2)</f>
        <v>0</v>
      </c>
    </row>
    <row r="5" spans="1:3" ht="14.4">
      <c r="A5" s="34" t="s">
        <v>197</v>
      </c>
      <c r="B5" s="289">
        <f>ROUND(SUMIF(受限货币资金明细表!D:D,受限制的货币资金!A5,受限货币资金明细表!E:E),2)</f>
        <v>0</v>
      </c>
      <c r="C5" s="289">
        <f>ROUND(SUMIF(受限货币资金明细表!D:D,受限制的货币资金!A5,受限货币资金明细表!F:F),2)</f>
        <v>0</v>
      </c>
    </row>
    <row r="6" spans="1:3" ht="14.4">
      <c r="A6" s="34" t="s">
        <v>2354</v>
      </c>
      <c r="B6" s="289">
        <f>ROUND(SUMIF(受限货币资金明细表!D:D,受限制的货币资金!A6,受限货币资金明细表!E:E),2)</f>
        <v>0</v>
      </c>
      <c r="C6" s="289">
        <f>ROUND(SUMIF(受限货币资金明细表!D:D,受限制的货币资金!A6,受限货币资金明细表!F:F),2)</f>
        <v>0</v>
      </c>
    </row>
    <row r="7" spans="1:3" ht="14.4">
      <c r="A7" s="34" t="s">
        <v>2355</v>
      </c>
      <c r="B7" s="289">
        <f>ROUND(SUMIF(受限货币资金明细表!D:D,受限制的货币资金!A7,受限货币资金明细表!E:E),2)</f>
        <v>0</v>
      </c>
      <c r="C7" s="289">
        <f>ROUND(SUMIF(受限货币资金明细表!D:D,受限制的货币资金!A7,受限货币资金明细表!F:F),2)</f>
        <v>0</v>
      </c>
    </row>
    <row r="8" spans="1:3" ht="14.4">
      <c r="A8" s="34" t="s">
        <v>2357</v>
      </c>
      <c r="B8" s="289">
        <f>ROUND(SUMIF(受限货币资金明细表!D:D,受限制的货币资金!A8,受限货币资金明细表!E:E),2)</f>
        <v>0</v>
      </c>
      <c r="C8" s="289">
        <f>ROUND(SUMIF(受限货币资金明细表!D:D,受限制的货币资金!A8,受限货币资金明细表!F:F),2)</f>
        <v>0</v>
      </c>
    </row>
    <row r="9" spans="1:3" ht="14.4">
      <c r="A9" s="35" t="s">
        <v>204</v>
      </c>
      <c r="B9" s="156">
        <f>ROUND(SUM(B2:B8),2)</f>
        <v>0</v>
      </c>
      <c r="C9" s="156">
        <f>ROUND(SUM(C2:C8),2)</f>
        <v>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sheetPr codeName="Sheet56"/>
  <dimension ref="A1:C5"/>
  <sheetViews>
    <sheetView workbookViewId="0">
      <selection activeCell="J22" sqref="J22"/>
    </sheetView>
  </sheetViews>
  <sheetFormatPr defaultRowHeight="13.8"/>
  <cols>
    <col min="1" max="1" width="13.88671875" bestFit="1" customWidth="1"/>
    <col min="2" max="3" width="8.88671875" style="229"/>
  </cols>
  <sheetData>
    <row r="1" spans="1:3">
      <c r="A1" s="243" t="s">
        <v>95</v>
      </c>
      <c r="B1" s="229" t="s">
        <v>199</v>
      </c>
      <c r="C1" s="229" t="s">
        <v>200</v>
      </c>
    </row>
    <row r="2" spans="1:3">
      <c r="A2" t="s">
        <v>808</v>
      </c>
      <c r="B2" s="229">
        <f>SUMIF(受限货币资金明细表!B:B,受限货币资金情况!A2,受限货币资金明细表!E:E)</f>
        <v>0</v>
      </c>
      <c r="C2" s="229">
        <f>SUMIF(受限货币资金明细表!B:B,受限货币资金情况!A2,受限货币资金明细表!F:F)</f>
        <v>0</v>
      </c>
    </row>
    <row r="3" spans="1:3">
      <c r="A3" t="s">
        <v>812</v>
      </c>
      <c r="B3" s="229">
        <f>SUMIF(受限货币资金明细表!B:B,受限货币资金情况!A3,受限货币资金明细表!E:E)</f>
        <v>0</v>
      </c>
      <c r="C3" s="229">
        <f>SUMIF(受限货币资金明细表!B:B,受限货币资金情况!A3,受限货币资金明细表!F:F)</f>
        <v>0</v>
      </c>
    </row>
    <row r="4" spans="1:3">
      <c r="A4" t="s">
        <v>1867</v>
      </c>
      <c r="B4" s="229">
        <f>SUMIF(受限货币资金明细表!B:B,受限货币资金情况!A4,受限货币资金明细表!E:E)</f>
        <v>0</v>
      </c>
      <c r="C4" s="229">
        <f>SUMIF(受限货币资金明细表!B:B,受限货币资金情况!A4,受限货币资金明细表!F:F)</f>
        <v>0</v>
      </c>
    </row>
    <row r="5" spans="1:3">
      <c r="A5" t="s">
        <v>262</v>
      </c>
      <c r="B5" s="229">
        <f>SUM(B2:B4)</f>
        <v>0</v>
      </c>
      <c r="C5" s="229">
        <f>SUM(C2:C4)</f>
        <v>0</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sheetPr codeName="Sheet57"/>
  <dimension ref="A1:H156"/>
  <sheetViews>
    <sheetView workbookViewId="0">
      <pane xSplit="1" ySplit="1" topLeftCell="B2" activePane="bottomRight" state="frozen"/>
      <selection activeCell="D22" sqref="D22"/>
      <selection pane="topRight" activeCell="D22" sqref="D22"/>
      <selection pane="bottomLeft" activeCell="D22" sqref="D22"/>
      <selection pane="bottomRight" activeCell="G4" sqref="G4"/>
    </sheetView>
  </sheetViews>
  <sheetFormatPr defaultRowHeight="13.8"/>
  <cols>
    <col min="1" max="1" width="33.664062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61" t="s">
        <v>1976</v>
      </c>
      <c r="B1" s="262" t="s">
        <v>1977</v>
      </c>
      <c r="C1" s="261" t="s">
        <v>1978</v>
      </c>
      <c r="D1" s="261" t="s">
        <v>1979</v>
      </c>
      <c r="E1" s="261" t="s">
        <v>1980</v>
      </c>
      <c r="F1" s="263" t="s">
        <v>1981</v>
      </c>
      <c r="G1" s="261" t="s">
        <v>1982</v>
      </c>
      <c r="H1" s="261" t="s">
        <v>1983</v>
      </c>
    </row>
    <row r="2" spans="1:8">
      <c r="A2" t="str">
        <f>IF(ABS(F2)&gt;0,基础信息!$B$1,"")</f>
        <v/>
      </c>
      <c r="B2" s="276"/>
      <c r="C2" s="276"/>
      <c r="D2" s="255"/>
      <c r="E2" s="255"/>
      <c r="F2" s="229">
        <f t="shared" ref="F2:F10" si="0">E2*D2</f>
        <v>0</v>
      </c>
      <c r="G2" s="255"/>
      <c r="H2" s="229">
        <f>G2*D2</f>
        <v>0</v>
      </c>
    </row>
    <row r="3" spans="1:8">
      <c r="A3" t="str">
        <f>IF(ABS(F3)&gt;0,基础信息!$B$1,"")</f>
        <v/>
      </c>
      <c r="B3" s="276"/>
      <c r="C3" s="276"/>
      <c r="D3" s="255"/>
      <c r="E3" s="255"/>
      <c r="F3" s="229">
        <f t="shared" si="0"/>
        <v>0</v>
      </c>
      <c r="G3" s="255"/>
      <c r="H3" s="229">
        <f t="shared" ref="H3:H10" si="1">G3*D3</f>
        <v>0</v>
      </c>
    </row>
    <row r="4" spans="1:8">
      <c r="A4" t="str">
        <f>IF(ABS(F4)&gt;0,基础信息!$B$1,"")</f>
        <v/>
      </c>
      <c r="B4" s="276"/>
      <c r="C4" s="276"/>
      <c r="D4" s="255"/>
      <c r="E4" s="255"/>
      <c r="F4" s="229">
        <f t="shared" si="0"/>
        <v>0</v>
      </c>
      <c r="G4" s="255"/>
      <c r="H4" s="229">
        <f t="shared" si="1"/>
        <v>0</v>
      </c>
    </row>
    <row r="5" spans="1:8">
      <c r="A5" t="str">
        <f>IF(ABS(F5)&gt;0,基础信息!$B$1,"")</f>
        <v/>
      </c>
      <c r="B5" s="276"/>
      <c r="C5" s="276"/>
      <c r="D5" s="255"/>
      <c r="E5" s="255"/>
      <c r="F5" s="229">
        <f t="shared" si="0"/>
        <v>0</v>
      </c>
      <c r="G5" s="255"/>
      <c r="H5" s="229">
        <f t="shared" si="1"/>
        <v>0</v>
      </c>
    </row>
    <row r="6" spans="1:8">
      <c r="A6" t="str">
        <f>IF(ABS(F6)&gt;0,基础信息!$B$1,"")</f>
        <v/>
      </c>
      <c r="B6" s="276"/>
      <c r="C6" s="276"/>
      <c r="D6" s="255"/>
      <c r="E6" s="255"/>
      <c r="F6" s="229">
        <f t="shared" si="0"/>
        <v>0</v>
      </c>
      <c r="G6" s="255"/>
      <c r="H6" s="229">
        <f t="shared" si="1"/>
        <v>0</v>
      </c>
    </row>
    <row r="7" spans="1:8">
      <c r="A7" t="str">
        <f>IF(ABS(F7)&gt;0,基础信息!$B$1,"")</f>
        <v/>
      </c>
      <c r="B7" s="276"/>
      <c r="C7" s="276"/>
      <c r="D7" s="255"/>
      <c r="E7" s="255"/>
      <c r="F7" s="229">
        <f t="shared" si="0"/>
        <v>0</v>
      </c>
      <c r="G7" s="255"/>
      <c r="H7" s="229">
        <f t="shared" si="1"/>
        <v>0</v>
      </c>
    </row>
    <row r="8" spans="1:8">
      <c r="A8" t="str">
        <f>IF(ABS(F8)&gt;0,基础信息!$B$1,"")</f>
        <v/>
      </c>
      <c r="B8" s="276"/>
      <c r="C8" s="276"/>
      <c r="D8" s="255"/>
      <c r="E8" s="255"/>
      <c r="F8" s="229">
        <f t="shared" si="0"/>
        <v>0</v>
      </c>
      <c r="G8" s="255"/>
      <c r="H8" s="229">
        <f t="shared" si="1"/>
        <v>0</v>
      </c>
    </row>
    <row r="9" spans="1:8">
      <c r="A9" t="str">
        <f>IF(ABS(F9)&gt;0,基础信息!$B$1,"")</f>
        <v/>
      </c>
      <c r="B9" s="276"/>
      <c r="C9" s="276"/>
      <c r="D9" s="255"/>
      <c r="E9" s="255"/>
      <c r="F9" s="229">
        <f t="shared" si="0"/>
        <v>0</v>
      </c>
      <c r="G9" s="255"/>
      <c r="H9" s="229">
        <f t="shared" si="1"/>
        <v>0</v>
      </c>
    </row>
    <row r="10" spans="1:8">
      <c r="A10" t="str">
        <f>IF(ABS(F10)&gt;0,基础信息!$B$1,"")</f>
        <v/>
      </c>
      <c r="B10" s="276"/>
      <c r="C10" s="276"/>
      <c r="D10" s="255"/>
      <c r="E10" s="255"/>
      <c r="F10" s="229">
        <f t="shared" si="0"/>
        <v>0</v>
      </c>
      <c r="G10" s="255"/>
      <c r="H10" s="229">
        <f t="shared" si="1"/>
        <v>0</v>
      </c>
    </row>
    <row r="11" spans="1:8">
      <c r="A11" t="str">
        <f>IF(ABS(F11)&gt;0,基础信息!$B$1,"")</f>
        <v/>
      </c>
      <c r="B11" s="276"/>
      <c r="C11" s="276"/>
      <c r="D11" s="255"/>
      <c r="E11" s="255"/>
      <c r="F11" s="229">
        <f t="shared" ref="F11:F16" si="2">E11*D11</f>
        <v>0</v>
      </c>
      <c r="G11" s="255"/>
      <c r="H11" s="229">
        <f t="shared" ref="H11:H16" si="3">G11*D11</f>
        <v>0</v>
      </c>
    </row>
    <row r="12" spans="1:8">
      <c r="A12" t="str">
        <f>IF(ABS(F12)&gt;0,基础信息!$B$1,"")</f>
        <v/>
      </c>
      <c r="B12" s="276"/>
      <c r="C12" s="276"/>
      <c r="D12" s="255"/>
      <c r="E12" s="255"/>
      <c r="F12" s="229">
        <f t="shared" si="2"/>
        <v>0</v>
      </c>
      <c r="G12" s="255"/>
      <c r="H12" s="229">
        <f t="shared" si="3"/>
        <v>0</v>
      </c>
    </row>
    <row r="13" spans="1:8">
      <c r="A13" t="str">
        <f>IF(ABS(F13)&gt;0,基础信息!$B$1,"")</f>
        <v/>
      </c>
      <c r="B13" s="276"/>
      <c r="C13" s="276"/>
      <c r="D13" s="255"/>
      <c r="E13" s="255"/>
      <c r="F13" s="229">
        <f t="shared" si="2"/>
        <v>0</v>
      </c>
      <c r="G13" s="255"/>
      <c r="H13" s="229">
        <f t="shared" si="3"/>
        <v>0</v>
      </c>
    </row>
    <row r="14" spans="1:8">
      <c r="A14" t="str">
        <f>IF(ABS(F14)&gt;0,基础信息!$B$1,"")</f>
        <v/>
      </c>
      <c r="B14" s="276"/>
      <c r="C14" s="276"/>
      <c r="D14" s="255"/>
      <c r="E14" s="255"/>
      <c r="F14" s="229">
        <f t="shared" si="2"/>
        <v>0</v>
      </c>
      <c r="G14" s="255"/>
      <c r="H14" s="229">
        <f t="shared" si="3"/>
        <v>0</v>
      </c>
    </row>
    <row r="15" spans="1:8">
      <c r="A15" t="str">
        <f>IF(ABS(F15)&gt;0,基础信息!$B$1,"")</f>
        <v/>
      </c>
      <c r="B15" s="276"/>
      <c r="C15" s="276"/>
      <c r="D15" s="255"/>
      <c r="E15" s="255"/>
      <c r="F15" s="229">
        <f t="shared" si="2"/>
        <v>0</v>
      </c>
      <c r="G15" s="255"/>
      <c r="H15" s="229">
        <f t="shared" si="3"/>
        <v>0</v>
      </c>
    </row>
    <row r="16" spans="1:8">
      <c r="A16" t="str">
        <f>IF(ABS(F16)&gt;0,基础信息!$B$1,"")</f>
        <v/>
      </c>
      <c r="B16" s="276"/>
      <c r="C16" s="276"/>
      <c r="D16" s="255"/>
      <c r="E16" s="255"/>
      <c r="F16" s="229">
        <f t="shared" si="2"/>
        <v>0</v>
      </c>
      <c r="G16" s="255"/>
      <c r="H16" s="229">
        <f t="shared" si="3"/>
        <v>0</v>
      </c>
    </row>
    <row r="17" spans="1:2">
      <c r="A17" t="str">
        <f>IF(ABS(F17)&gt;0,基础信息!B16,"")</f>
        <v/>
      </c>
      <c r="B17" s="256"/>
    </row>
    <row r="18" spans="1:2">
      <c r="A18" t="str">
        <f>IF(ABS(F18)&gt;0,基础信息!B17,"")</f>
        <v/>
      </c>
      <c r="B18" s="256"/>
    </row>
    <row r="19" spans="1:2">
      <c r="A19" t="str">
        <f>IF(ABS(F19)&gt;0,基础信息!B18,"")</f>
        <v/>
      </c>
      <c r="B19" s="256"/>
    </row>
    <row r="20" spans="1:2">
      <c r="A20" t="str">
        <f>IF(ABS(F20)&gt;0,基础信息!B19,"")</f>
        <v/>
      </c>
      <c r="B20" s="256"/>
    </row>
    <row r="21" spans="1:2">
      <c r="A21" t="str">
        <f>IF(ABS(F21)&gt;0,基础信息!B20,"")</f>
        <v/>
      </c>
      <c r="B21" s="256"/>
    </row>
    <row r="22" spans="1:2">
      <c r="A22" t="str">
        <f>IF(ABS(F22)&gt;0,基础信息!B21,"")</f>
        <v/>
      </c>
      <c r="B22" s="256"/>
    </row>
    <row r="23" spans="1:2">
      <c r="A23" t="str">
        <f>IF(ABS(F23)&gt;0,基础信息!B22,"")</f>
        <v/>
      </c>
      <c r="B23" s="256"/>
    </row>
    <row r="24" spans="1:2">
      <c r="A24" t="str">
        <f>IF(ABS(F24)&gt;0,基础信息!B23,"")</f>
        <v/>
      </c>
      <c r="B24" s="256"/>
    </row>
    <row r="25" spans="1:2">
      <c r="A25" t="str">
        <f>IF(ABS(F25)&gt;0,基础信息!B24,"")</f>
        <v/>
      </c>
      <c r="B25" s="256"/>
    </row>
    <row r="26" spans="1:2">
      <c r="A26" t="str">
        <f>IF(ABS(F26)&gt;0,基础信息!B25,"")</f>
        <v/>
      </c>
      <c r="B26" s="256"/>
    </row>
    <row r="27" spans="1:2">
      <c r="A27" t="str">
        <f>IF(ABS(F27)&gt;0,基础信息!B26,"")</f>
        <v/>
      </c>
      <c r="B27" s="256"/>
    </row>
    <row r="28" spans="1:2">
      <c r="A28" t="str">
        <f>IF(ABS(F28)&gt;0,基础信息!B27,"")</f>
        <v/>
      </c>
      <c r="B28" s="256"/>
    </row>
    <row r="29" spans="1:2">
      <c r="A29" t="str">
        <f>IF(ABS(F29)&gt;0,基础信息!B28,"")</f>
        <v/>
      </c>
      <c r="B29" s="256"/>
    </row>
    <row r="30" spans="1:2">
      <c r="A30" t="str">
        <f>IF(ABS(F30)&gt;0,基础信息!B29,"")</f>
        <v/>
      </c>
      <c r="B30" s="256"/>
    </row>
    <row r="31" spans="1:2">
      <c r="A31" t="str">
        <f>IF(ABS(F31)&gt;0,基础信息!B30,"")</f>
        <v/>
      </c>
      <c r="B31" s="256"/>
    </row>
    <row r="32" spans="1:2">
      <c r="A32" t="str">
        <f>IF(ABS(F32)&gt;0,基础信息!B31,"")</f>
        <v/>
      </c>
      <c r="B32" s="256"/>
    </row>
    <row r="33" spans="1:2">
      <c r="A33" t="str">
        <f>IF(ABS(F33)&gt;0,基础信息!B32,"")</f>
        <v/>
      </c>
      <c r="B33" s="256"/>
    </row>
    <row r="34" spans="1:2">
      <c r="A34" t="str">
        <f>IF(ABS(F34)&gt;0,基础信息!B33,"")</f>
        <v/>
      </c>
      <c r="B34" s="256"/>
    </row>
    <row r="35" spans="1:2">
      <c r="A35" t="str">
        <f>IF(ABS(F35)&gt;0,基础信息!B34,"")</f>
        <v/>
      </c>
      <c r="B35" s="256"/>
    </row>
    <row r="36" spans="1:2">
      <c r="A36" t="str">
        <f>IF(ABS(F36)&gt;0,基础信息!B35,"")</f>
        <v/>
      </c>
      <c r="B36" s="256"/>
    </row>
    <row r="37" spans="1:2">
      <c r="A37" t="str">
        <f>IF(ABS(F37)&gt;0,基础信息!B36,"")</f>
        <v/>
      </c>
      <c r="B37" s="256"/>
    </row>
    <row r="38" spans="1:2">
      <c r="A38" t="str">
        <f>IF(ABS(F38)&gt;0,基础信息!B37,"")</f>
        <v/>
      </c>
      <c r="B38" s="256"/>
    </row>
    <row r="39" spans="1:2">
      <c r="A39" t="str">
        <f>IF(ABS(F39)&gt;0,基础信息!B38,"")</f>
        <v/>
      </c>
      <c r="B39" s="256"/>
    </row>
    <row r="40" spans="1:2">
      <c r="A40" t="str">
        <f>IF(ABS(F40)&gt;0,基础信息!B39,"")</f>
        <v/>
      </c>
    </row>
    <row r="41" spans="1:2">
      <c r="A41" t="str">
        <f>IF(ABS(F41)&gt;0,基础信息!B40,"")</f>
        <v/>
      </c>
    </row>
    <row r="42" spans="1:2">
      <c r="A42" t="str">
        <f>IF(ABS(F42)&gt;0,基础信息!B41,"")</f>
        <v/>
      </c>
    </row>
    <row r="43" spans="1:2">
      <c r="A43" t="str">
        <f>IF(ABS(F43)&gt;0,基础信息!B42,"")</f>
        <v/>
      </c>
    </row>
    <row r="44" spans="1:2">
      <c r="A44" t="str">
        <f>IF(ABS(F44)&gt;0,基础信息!B43,"")</f>
        <v/>
      </c>
    </row>
    <row r="45" spans="1:2">
      <c r="A45" t="str">
        <f>IF(ABS(F45)&gt;0,基础信息!B44,"")</f>
        <v/>
      </c>
    </row>
    <row r="46" spans="1:2">
      <c r="A46" t="str">
        <f>IF(ABS(F46)&gt;0,基础信息!B45,"")</f>
        <v/>
      </c>
    </row>
    <row r="47" spans="1:2">
      <c r="A47" t="str">
        <f>IF(ABS(F47)&gt;0,基础信息!B46,"")</f>
        <v/>
      </c>
    </row>
    <row r="48" spans="1:2">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90227F3-56CC-4B4F-94BE-C0E3884C0B75}">
          <x14:formula1>
            <xm:f>分类表!$2:$2</xm:f>
          </x14:formula1>
          <xm:sqref>C2:C44</xm:sqref>
        </x14:dataValidation>
        <x14:dataValidation type="list" allowBlank="1" showInputMessage="1" showErrorMessage="1" xr:uid="{B3F8FC20-F515-49AF-943C-A9DB6497A83E}">
          <x14:formula1>
            <xm:f>分类表!$3:$3</xm:f>
          </x14:formula1>
          <xm:sqref>B2:B39</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sheetPr codeName="Sheet58"/>
  <dimension ref="A1:F14"/>
  <sheetViews>
    <sheetView workbookViewId="0">
      <selection activeCell="M23" sqref="M23"/>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61" t="s">
        <v>1976</v>
      </c>
      <c r="B1" s="262" t="s">
        <v>1977</v>
      </c>
      <c r="C1" s="261" t="s">
        <v>1978</v>
      </c>
      <c r="D1" s="261" t="s">
        <v>2356</v>
      </c>
      <c r="E1" s="263" t="s">
        <v>199</v>
      </c>
      <c r="F1" s="261" t="s">
        <v>200</v>
      </c>
    </row>
    <row r="2" spans="1:6">
      <c r="A2" t="str">
        <f>IF(ABS(E2)&gt;0,基础信息!$B$1,"")</f>
        <v/>
      </c>
      <c r="B2" s="276"/>
      <c r="C2" s="276"/>
      <c r="D2" s="276"/>
      <c r="E2" s="288"/>
      <c r="F2" s="255"/>
    </row>
    <row r="3" spans="1:6">
      <c r="A3" t="str">
        <f>IF(ABS(E3)&gt;0,基础信息!$B$1,"")</f>
        <v/>
      </c>
      <c r="B3" s="276"/>
      <c r="C3" s="276"/>
      <c r="D3" s="276"/>
      <c r="E3" s="288"/>
      <c r="F3" s="255"/>
    </row>
    <row r="4" spans="1:6">
      <c r="A4" t="str">
        <f>IF(ABS(E4)&gt;0,基础信息!$B$1,"")</f>
        <v/>
      </c>
      <c r="B4" s="276"/>
      <c r="C4" s="276"/>
      <c r="D4" s="276"/>
      <c r="E4" s="288"/>
      <c r="F4" s="255"/>
    </row>
    <row r="5" spans="1:6">
      <c r="A5" t="str">
        <f>IF(ABS(E5)&gt;0,基础信息!$B$1,"")</f>
        <v/>
      </c>
      <c r="B5" s="276"/>
      <c r="C5" s="276"/>
      <c r="D5" s="276"/>
      <c r="E5" s="255"/>
      <c r="F5" s="255"/>
    </row>
    <row r="6" spans="1:6">
      <c r="A6" t="str">
        <f>IF(ABS(E6)&gt;0,基础信息!$B$1,"")</f>
        <v/>
      </c>
      <c r="B6" s="276"/>
      <c r="C6" s="276"/>
      <c r="D6" s="276"/>
      <c r="E6" s="255"/>
      <c r="F6" s="255"/>
    </row>
    <row r="7" spans="1:6">
      <c r="A7" t="str">
        <f>IF(ABS(E7)&gt;0,基础信息!$B$1,"")</f>
        <v/>
      </c>
      <c r="B7" s="276"/>
      <c r="C7" s="276"/>
      <c r="D7" s="276"/>
      <c r="E7" s="255"/>
      <c r="F7" s="255"/>
    </row>
    <row r="8" spans="1:6">
      <c r="A8" t="str">
        <f>IF(ABS(E8)&gt;0,基础信息!$B$1,"")</f>
        <v/>
      </c>
      <c r="B8" s="276"/>
      <c r="C8" s="276"/>
      <c r="D8" s="276"/>
      <c r="E8" s="255"/>
      <c r="F8" s="255"/>
    </row>
    <row r="9" spans="1:6">
      <c r="A9" t="str">
        <f>IF(ABS(E9)&gt;0,基础信息!$B$1,"")</f>
        <v/>
      </c>
      <c r="B9" s="276"/>
      <c r="C9" s="276"/>
      <c r="D9" s="276"/>
      <c r="E9" s="255"/>
      <c r="F9" s="255"/>
    </row>
    <row r="10" spans="1:6">
      <c r="A10" t="str">
        <f>IF(ABS(E10)&gt;0,基础信息!$B$1,"")</f>
        <v/>
      </c>
      <c r="B10" s="276"/>
      <c r="C10" s="276"/>
      <c r="D10" s="276"/>
      <c r="E10" s="255"/>
      <c r="F10" s="255"/>
    </row>
    <row r="11" spans="1:6">
      <c r="A11" t="str">
        <f>IF(ABS(E11)&gt;0,基础信息!$B$1,"")</f>
        <v/>
      </c>
      <c r="B11" s="276"/>
      <c r="C11" s="276"/>
      <c r="D11" s="276"/>
      <c r="E11" s="255"/>
      <c r="F11" s="255"/>
    </row>
    <row r="12" spans="1:6">
      <c r="A12" t="str">
        <f>IF(ABS(E12)&gt;0,基础信息!$B$1,"")</f>
        <v/>
      </c>
      <c r="B12" s="276"/>
      <c r="C12" s="276"/>
      <c r="D12" s="276"/>
      <c r="E12" s="255"/>
      <c r="F12" s="255"/>
    </row>
    <row r="13" spans="1:6">
      <c r="A13" t="str">
        <f>IF(ABS(E13)&gt;0,基础信息!$B$1,"")</f>
        <v/>
      </c>
      <c r="B13" s="276"/>
      <c r="C13" s="276"/>
      <c r="D13" s="276"/>
      <c r="E13" s="255"/>
      <c r="F13" s="255"/>
    </row>
    <row r="14" spans="1:6">
      <c r="A14" t="str">
        <f>IF(ABS(E14)&gt;0,基础信息!$B$1,"")</f>
        <v/>
      </c>
      <c r="B14" s="276"/>
      <c r="C14" s="276"/>
      <c r="D14" s="276"/>
      <c r="E14" s="255"/>
      <c r="F14"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分类表!$2:$2</xm:f>
          </x14:formula1>
          <xm:sqref>C2:C14</xm:sqref>
        </x14:dataValidation>
        <x14:dataValidation type="list" allowBlank="1" showInputMessage="1" showErrorMessage="1" xr:uid="{17382CAA-7231-4AF8-90D4-5D744E94D647}">
          <x14:formula1>
            <xm:f>分类表!$3:$3</xm:f>
          </x14:formula1>
          <xm:sqref>B2:B14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sheetPr codeName="Sheet5"/>
  <dimension ref="A1:I3"/>
  <sheetViews>
    <sheetView view="pageBreakPreview" zoomScaleNormal="100" zoomScaleSheetLayoutView="100" workbookViewId="0">
      <selection activeCell="E21" sqref="E21"/>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1236</v>
      </c>
      <c r="C1" s="62" t="s">
        <v>1237</v>
      </c>
      <c r="D1" s="62" t="s">
        <v>1238</v>
      </c>
      <c r="E1" s="62" t="s">
        <v>1239</v>
      </c>
      <c r="F1" s="105" t="s">
        <v>792</v>
      </c>
      <c r="G1" s="105" t="s">
        <v>793</v>
      </c>
      <c r="H1" s="62" t="s">
        <v>1240</v>
      </c>
      <c r="I1" s="105">
        <f>SUM(F:F)-SUM(G:G)</f>
        <v>0</v>
      </c>
    </row>
    <row r="3" spans="1:9">
      <c r="A3" s="106"/>
      <c r="B3" s="107"/>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本期TB!$B$4:$B$255</xm:f>
          </x14:formula1>
          <xm:sqref>D2:D263</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sheetPr codeName="Sheet59">
    <tabColor rgb="FFFFC000"/>
  </sheetPr>
  <dimension ref="A1:C10"/>
  <sheetViews>
    <sheetView workbookViewId="0">
      <selection activeCell="D20" sqref="D20"/>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28</v>
      </c>
      <c r="B1" s="154" t="s">
        <v>199</v>
      </c>
      <c r="C1" s="153" t="s">
        <v>200</v>
      </c>
    </row>
    <row r="2" spans="1:3" ht="14.4">
      <c r="A2" s="419" t="s">
        <v>2371</v>
      </c>
      <c r="B2" s="292">
        <f>ROUND(SUMIF(交易性金融资产明细表!C:C,交易性金融资产!A2,交易性金融资产明细表!J:J),2)</f>
        <v>0</v>
      </c>
      <c r="C2" s="293">
        <f>ROUND(SUMIF(交易性金融资产明细表!C:C,交易性金融资产!A2,交易性金融资产明细表!E:E),2)</f>
        <v>0</v>
      </c>
    </row>
    <row r="3" spans="1:3" ht="14.4">
      <c r="A3" s="419" t="s">
        <v>2372</v>
      </c>
      <c r="B3" s="292">
        <f>ROUND(SUMIF(交易性金融资产明细表!C:C,交易性金融资产!A3,交易性金融资产明细表!J:J),2)</f>
        <v>0</v>
      </c>
      <c r="C3" s="293">
        <f>ROUND(SUMIF(交易性金融资产明细表!C:C,交易性金融资产!A3,交易性金融资产明细表!E:E),2)</f>
        <v>0</v>
      </c>
    </row>
    <row r="4" spans="1:3" ht="14.4">
      <c r="A4" s="419" t="s">
        <v>2373</v>
      </c>
      <c r="B4" s="292">
        <f>ROUND(SUMIF(交易性金融资产明细表!C:C,交易性金融资产!A4,交易性金融资产明细表!J:J),2)</f>
        <v>0</v>
      </c>
      <c r="C4" s="293">
        <f>ROUND(SUMIF(交易性金融资产明细表!C:C,交易性金融资产!A4,交易性金融资产明细表!E:E),2)</f>
        <v>0</v>
      </c>
    </row>
    <row r="5" spans="1:3" ht="14.4">
      <c r="A5" s="419" t="s">
        <v>2374</v>
      </c>
      <c r="B5" s="292">
        <f>ROUND(SUMIF(交易性金融资产明细表!C:C,交易性金融资产!A5,交易性金融资产明细表!J:J),2)</f>
        <v>0</v>
      </c>
      <c r="C5" s="293">
        <f>ROUND(SUMIF(交易性金融资产明细表!C:C,交易性金融资产!A5,交易性金融资产明细表!E:E),2)</f>
        <v>0</v>
      </c>
    </row>
    <row r="6" spans="1:3" ht="14.4">
      <c r="A6" s="419" t="s">
        <v>2375</v>
      </c>
      <c r="B6" s="292">
        <f>ROUND(SUMIF(交易性金融资产明细表!C:C,交易性金融资产!A6,交易性金融资产明细表!J:J),2)</f>
        <v>0</v>
      </c>
      <c r="C6" s="293">
        <f>ROUND(SUMIF(交易性金融资产明细表!C:C,交易性金融资产!A6,交易性金融资产明细表!E:E),2)</f>
        <v>0</v>
      </c>
    </row>
    <row r="7" spans="1:3" ht="14.4">
      <c r="A7" s="419" t="s">
        <v>2376</v>
      </c>
      <c r="B7" s="292">
        <f>ROUND(SUMIF(交易性金融资产明细表!C:C,交易性金融资产!A7,交易性金融资产明细表!J:J),2)</f>
        <v>0</v>
      </c>
      <c r="C7" s="293">
        <f>ROUND(SUMIF(交易性金融资产明细表!C:C,交易性金融资产!A7,交易性金融资产明细表!E:E),2)</f>
        <v>0</v>
      </c>
    </row>
    <row r="8" spans="1:3" ht="14.4">
      <c r="A8" s="419" t="s">
        <v>2377</v>
      </c>
      <c r="B8" s="292">
        <f>ROUND(SUMIF(交易性金融资产明细表!C:C,交易性金融资产!A8,交易性金融资产明细表!J:J),2)</f>
        <v>0</v>
      </c>
      <c r="C8" s="293">
        <f>ROUND(SUMIF(交易性金融资产明细表!C:C,交易性金融资产!A8,交易性金融资产明细表!E:E),2)</f>
        <v>0</v>
      </c>
    </row>
    <row r="9" spans="1:3" ht="14.4">
      <c r="A9" s="419" t="s">
        <v>202</v>
      </c>
      <c r="B9" s="292">
        <f>ROUND(SUMIF(交易性金融资产明细表!C:C,交易性金融资产!A9,交易性金融资产明细表!J:J),2)</f>
        <v>0</v>
      </c>
      <c r="C9" s="293">
        <f>ROUND(SUMIF(交易性金融资产明细表!C:C,交易性金融资产!A9,交易性金融资产明细表!E:E),2)</f>
        <v>0</v>
      </c>
    </row>
    <row r="10" spans="1:3" ht="14.4">
      <c r="A10" s="35" t="s">
        <v>204</v>
      </c>
      <c r="B10" s="155">
        <f>ROUND(SUM(B2:B9),2)</f>
        <v>0</v>
      </c>
      <c r="C10" s="155">
        <f>ROUND(SUM(C2:C9),2)</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分类表!$87:$87</xm:f>
          </x14:formula1>
          <xm:sqref>A2:A9</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sheetPr codeName="Sheet60"/>
  <dimension ref="A1:O27"/>
  <sheetViews>
    <sheetView workbookViewId="0">
      <pane xSplit="1" ySplit="1" topLeftCell="B2" activePane="bottomRight" state="frozen"/>
      <selection activeCell="D22" sqref="D22"/>
      <selection pane="topRight" activeCell="D22" sqref="D22"/>
      <selection pane="bottomLeft" activeCell="D22" sqref="D22"/>
      <selection pane="bottomRight" activeCell="C27" sqref="C27"/>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9"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1" customFormat="1">
      <c r="A1" s="261" t="s">
        <v>1976</v>
      </c>
      <c r="B1" s="261" t="s">
        <v>2358</v>
      </c>
      <c r="C1" s="261" t="s">
        <v>2359</v>
      </c>
      <c r="D1" s="261" t="s">
        <v>381</v>
      </c>
      <c r="E1" s="261" t="s">
        <v>2360</v>
      </c>
      <c r="F1" s="261" t="s">
        <v>2361</v>
      </c>
      <c r="G1" s="261" t="s">
        <v>2362</v>
      </c>
      <c r="H1" s="261" t="s">
        <v>2363</v>
      </c>
      <c r="I1" s="261" t="s">
        <v>2364</v>
      </c>
      <c r="J1" s="263" t="s">
        <v>2365</v>
      </c>
      <c r="K1" s="261" t="s">
        <v>2366</v>
      </c>
      <c r="L1" s="261" t="s">
        <v>2367</v>
      </c>
      <c r="M1" s="261" t="s">
        <v>2368</v>
      </c>
      <c r="N1" s="261" t="s">
        <v>2369</v>
      </c>
      <c r="O1" s="261" t="s">
        <v>2370</v>
      </c>
    </row>
    <row r="2" spans="1:15">
      <c r="A2" t="str">
        <f>IF(ABS(J2+E2)&gt;0,基础信息!$B$1,"")</f>
        <v/>
      </c>
      <c r="B2" s="255"/>
      <c r="C2" s="276"/>
      <c r="D2" s="255"/>
      <c r="E2" s="255"/>
      <c r="F2" s="255"/>
      <c r="G2" s="255"/>
      <c r="H2" s="255"/>
      <c r="I2" s="255"/>
      <c r="J2" s="229">
        <f t="shared" ref="J2:J23" si="0">E2+F2-G2-H2+I2</f>
        <v>0</v>
      </c>
      <c r="K2" s="255"/>
      <c r="L2" s="255"/>
      <c r="M2" s="255"/>
      <c r="N2">
        <f>K2+L2-M2</f>
        <v>0</v>
      </c>
      <c r="O2" s="255"/>
    </row>
    <row r="3" spans="1:15">
      <c r="A3" t="str">
        <f>IF(ABS(J3+E3)&gt;0,基础信息!$B$1,"")</f>
        <v/>
      </c>
      <c r="B3" s="255"/>
      <c r="C3" s="276"/>
      <c r="D3" s="255"/>
      <c r="E3" s="255"/>
      <c r="F3" s="255"/>
      <c r="G3" s="255"/>
      <c r="H3" s="255"/>
      <c r="I3" s="255"/>
      <c r="J3" s="229">
        <f t="shared" si="0"/>
        <v>0</v>
      </c>
      <c r="K3" s="255"/>
      <c r="L3" s="255"/>
      <c r="M3" s="255"/>
      <c r="N3">
        <f>K3+L3-M3</f>
        <v>0</v>
      </c>
      <c r="O3" s="255"/>
    </row>
    <row r="4" spans="1:15">
      <c r="A4" t="str">
        <f>IF(ABS(J4+E4)&gt;0,基础信息!$B$1,"")</f>
        <v/>
      </c>
      <c r="B4" s="255"/>
      <c r="C4" s="276"/>
      <c r="D4" s="255"/>
      <c r="E4" s="255"/>
      <c r="F4" s="255"/>
      <c r="G4" s="255"/>
      <c r="H4" s="255"/>
      <c r="I4" s="255"/>
      <c r="J4" s="229">
        <f t="shared" si="0"/>
        <v>0</v>
      </c>
      <c r="K4" s="255"/>
      <c r="L4" s="255"/>
      <c r="M4" s="255"/>
      <c r="N4">
        <f>K4+L4-M4</f>
        <v>0</v>
      </c>
      <c r="O4" s="255"/>
    </row>
    <row r="5" spans="1:15">
      <c r="A5" t="str">
        <f>IF(ABS(J5+E5)&gt;0,基础信息!$B$1,"")</f>
        <v/>
      </c>
      <c r="B5" s="255"/>
      <c r="C5" s="276"/>
      <c r="D5" s="255"/>
      <c r="E5" s="255"/>
      <c r="F5" s="255"/>
      <c r="G5" s="255"/>
      <c r="H5" s="255"/>
      <c r="I5" s="255"/>
      <c r="J5" s="229">
        <f t="shared" si="0"/>
        <v>0</v>
      </c>
      <c r="K5" s="255"/>
      <c r="L5" s="255"/>
      <c r="M5" s="255"/>
      <c r="N5">
        <f>K5+L5-M5</f>
        <v>0</v>
      </c>
      <c r="O5" s="255"/>
    </row>
    <row r="6" spans="1:15">
      <c r="A6" t="str">
        <f>IF(ABS(J6+E6)&gt;0,基础信息!$B$1,"")</f>
        <v/>
      </c>
      <c r="B6" s="255"/>
      <c r="C6" s="276"/>
      <c r="D6" s="255"/>
      <c r="E6" s="255"/>
      <c r="F6" s="255"/>
      <c r="G6" s="255"/>
      <c r="H6" s="255"/>
      <c r="I6" s="255"/>
      <c r="J6" s="229">
        <f t="shared" si="0"/>
        <v>0</v>
      </c>
      <c r="K6" s="255"/>
      <c r="L6" s="255"/>
      <c r="M6" s="255"/>
      <c r="N6">
        <f>K6+L6-M6</f>
        <v>0</v>
      </c>
      <c r="O6" s="255"/>
    </row>
    <row r="7" spans="1:15">
      <c r="A7" t="str">
        <f>IF(ABS(J7+E7)&gt;0,基础信息!$B$1,"")</f>
        <v/>
      </c>
      <c r="B7" s="255"/>
      <c r="C7" s="276"/>
      <c r="D7" s="255"/>
      <c r="E7" s="255"/>
      <c r="F7" s="255"/>
      <c r="G7" s="255"/>
      <c r="H7" s="255"/>
      <c r="I7" s="255"/>
      <c r="J7" s="229">
        <f t="shared" si="0"/>
        <v>0</v>
      </c>
      <c r="K7" s="255"/>
      <c r="L7" s="255"/>
      <c r="M7" s="255"/>
      <c r="N7">
        <f t="shared" ref="N7:N22" si="1">K7+L7-M7</f>
        <v>0</v>
      </c>
      <c r="O7" s="255"/>
    </row>
    <row r="8" spans="1:15">
      <c r="A8" t="str">
        <f>IF(ABS(J8+E8)&gt;0,基础信息!$B$1,"")</f>
        <v/>
      </c>
      <c r="B8" s="255"/>
      <c r="C8" s="276"/>
      <c r="D8" s="255"/>
      <c r="E8" s="255"/>
      <c r="F8" s="255"/>
      <c r="G8" s="255"/>
      <c r="H8" s="255"/>
      <c r="I8" s="255"/>
      <c r="J8" s="229">
        <f t="shared" si="0"/>
        <v>0</v>
      </c>
      <c r="K8" s="255"/>
      <c r="L8" s="255"/>
      <c r="M8" s="255"/>
      <c r="N8">
        <f t="shared" si="1"/>
        <v>0</v>
      </c>
      <c r="O8" s="255"/>
    </row>
    <row r="9" spans="1:15">
      <c r="A9" t="str">
        <f>IF(ABS(J9+E9)&gt;0,基础信息!$B$1,"")</f>
        <v/>
      </c>
      <c r="B9" s="255"/>
      <c r="C9" s="276"/>
      <c r="D9" s="255"/>
      <c r="E9" s="255"/>
      <c r="F9" s="255"/>
      <c r="G9" s="255"/>
      <c r="H9" s="255"/>
      <c r="I9" s="255"/>
      <c r="J9" s="229">
        <f t="shared" si="0"/>
        <v>0</v>
      </c>
      <c r="K9" s="255"/>
      <c r="L9" s="255"/>
      <c r="M9" s="255"/>
      <c r="N9">
        <f t="shared" si="1"/>
        <v>0</v>
      </c>
      <c r="O9" s="255"/>
    </row>
    <row r="10" spans="1:15">
      <c r="A10" t="str">
        <f>IF(ABS(J10+E10)&gt;0,基础信息!$B$1,"")</f>
        <v/>
      </c>
      <c r="B10" s="255"/>
      <c r="C10" s="276"/>
      <c r="D10" s="255"/>
      <c r="E10" s="255"/>
      <c r="F10" s="255"/>
      <c r="G10" s="255"/>
      <c r="H10" s="255"/>
      <c r="I10" s="255"/>
      <c r="J10" s="229">
        <f t="shared" si="0"/>
        <v>0</v>
      </c>
      <c r="K10" s="255"/>
      <c r="L10" s="255"/>
      <c r="M10" s="255"/>
      <c r="N10">
        <f t="shared" si="1"/>
        <v>0</v>
      </c>
      <c r="O10" s="255"/>
    </row>
    <row r="11" spans="1:15">
      <c r="A11" t="str">
        <f>IF(ABS(J11+E11)&gt;0,基础信息!$B$1,"")</f>
        <v/>
      </c>
      <c r="B11" s="255"/>
      <c r="C11" s="276"/>
      <c r="D11" s="255"/>
      <c r="E11" s="255"/>
      <c r="F11" s="255"/>
      <c r="G11" s="255"/>
      <c r="H11" s="255"/>
      <c r="I11" s="255"/>
      <c r="J11" s="229">
        <f t="shared" si="0"/>
        <v>0</v>
      </c>
      <c r="K11" s="255"/>
      <c r="L11" s="255"/>
      <c r="M11" s="255"/>
      <c r="N11">
        <f t="shared" si="1"/>
        <v>0</v>
      </c>
      <c r="O11" s="255"/>
    </row>
    <row r="12" spans="1:15">
      <c r="A12" t="str">
        <f>IF(ABS(J12+E12)&gt;0,基础信息!$B$1,"")</f>
        <v/>
      </c>
      <c r="B12" s="255"/>
      <c r="C12" s="276"/>
      <c r="D12" s="255"/>
      <c r="E12" s="255"/>
      <c r="F12" s="255"/>
      <c r="G12" s="255"/>
      <c r="H12" s="255"/>
      <c r="I12" s="255"/>
      <c r="J12" s="229">
        <f t="shared" si="0"/>
        <v>0</v>
      </c>
      <c r="K12" s="255"/>
      <c r="L12" s="255"/>
      <c r="M12" s="255"/>
      <c r="N12">
        <f t="shared" si="1"/>
        <v>0</v>
      </c>
      <c r="O12" s="255"/>
    </row>
    <row r="13" spans="1:15">
      <c r="A13" t="str">
        <f>IF(ABS(J13+E13)&gt;0,基础信息!$B$1,"")</f>
        <v/>
      </c>
      <c r="B13" s="255"/>
      <c r="C13" s="276"/>
      <c r="D13" s="255"/>
      <c r="E13" s="255"/>
      <c r="F13" s="255"/>
      <c r="G13" s="255"/>
      <c r="H13" s="255"/>
      <c r="I13" s="255"/>
      <c r="J13" s="229">
        <f t="shared" si="0"/>
        <v>0</v>
      </c>
      <c r="K13" s="255"/>
      <c r="L13" s="255"/>
      <c r="M13" s="255"/>
      <c r="N13">
        <f t="shared" si="1"/>
        <v>0</v>
      </c>
      <c r="O13" s="255"/>
    </row>
    <row r="14" spans="1:15">
      <c r="A14" t="str">
        <f>IF(ABS(J14+E14)&gt;0,基础信息!$B$1,"")</f>
        <v/>
      </c>
      <c r="B14" s="255"/>
      <c r="C14" s="276"/>
      <c r="D14" s="255"/>
      <c r="E14" s="255"/>
      <c r="F14" s="255"/>
      <c r="G14" s="255"/>
      <c r="H14" s="255"/>
      <c r="I14" s="255"/>
      <c r="J14" s="229">
        <f t="shared" si="0"/>
        <v>0</v>
      </c>
      <c r="K14" s="255"/>
      <c r="L14" s="255"/>
      <c r="M14" s="255"/>
      <c r="N14">
        <f t="shared" si="1"/>
        <v>0</v>
      </c>
      <c r="O14" s="255"/>
    </row>
    <row r="15" spans="1:15">
      <c r="A15" t="str">
        <f>IF(ABS(J15+E15)&gt;0,基础信息!$B$1,"")</f>
        <v/>
      </c>
      <c r="B15" s="255"/>
      <c r="C15" s="276"/>
      <c r="D15" s="255"/>
      <c r="E15" s="255"/>
      <c r="F15" s="255"/>
      <c r="G15" s="255"/>
      <c r="H15" s="255"/>
      <c r="I15" s="255"/>
      <c r="J15" s="229">
        <f t="shared" si="0"/>
        <v>0</v>
      </c>
      <c r="K15" s="255"/>
      <c r="L15" s="255"/>
      <c r="M15" s="255"/>
      <c r="N15">
        <f t="shared" si="1"/>
        <v>0</v>
      </c>
      <c r="O15" s="255"/>
    </row>
    <row r="16" spans="1:15">
      <c r="A16" t="str">
        <f>IF(ABS(J16+E16)&gt;0,基础信息!$B$1,"")</f>
        <v/>
      </c>
      <c r="B16" s="255"/>
      <c r="C16" s="276"/>
      <c r="D16" s="255"/>
      <c r="E16" s="255"/>
      <c r="F16" s="255"/>
      <c r="G16" s="255"/>
      <c r="H16" s="255"/>
      <c r="I16" s="255"/>
      <c r="J16" s="229">
        <f t="shared" si="0"/>
        <v>0</v>
      </c>
      <c r="K16" s="255"/>
      <c r="L16" s="255"/>
      <c r="M16" s="255"/>
      <c r="N16">
        <f t="shared" si="1"/>
        <v>0</v>
      </c>
      <c r="O16" s="255"/>
    </row>
    <row r="17" spans="1:15">
      <c r="A17" t="str">
        <f>IF(ABS(J17+E17)&gt;0,基础信息!$B$1,"")</f>
        <v/>
      </c>
      <c r="B17" s="255"/>
      <c r="C17" s="276"/>
      <c r="D17" s="255"/>
      <c r="E17" s="255"/>
      <c r="F17" s="255"/>
      <c r="G17" s="255"/>
      <c r="H17" s="255"/>
      <c r="I17" s="255"/>
      <c r="J17" s="229">
        <f t="shared" si="0"/>
        <v>0</v>
      </c>
      <c r="K17" s="255"/>
      <c r="L17" s="255"/>
      <c r="M17" s="255"/>
      <c r="N17">
        <f t="shared" si="1"/>
        <v>0</v>
      </c>
      <c r="O17" s="255"/>
    </row>
    <row r="18" spans="1:15">
      <c r="A18" t="str">
        <f>IF(ABS(J18+E18)&gt;0,基础信息!$B$1,"")</f>
        <v/>
      </c>
      <c r="B18" s="255"/>
      <c r="C18" s="276"/>
      <c r="D18" s="255"/>
      <c r="E18" s="255"/>
      <c r="F18" s="255"/>
      <c r="G18" s="255"/>
      <c r="H18" s="255"/>
      <c r="I18" s="255"/>
      <c r="J18" s="229">
        <f t="shared" si="0"/>
        <v>0</v>
      </c>
      <c r="K18" s="255"/>
      <c r="L18" s="255"/>
      <c r="M18" s="255"/>
      <c r="N18">
        <f t="shared" si="1"/>
        <v>0</v>
      </c>
      <c r="O18" s="255"/>
    </row>
    <row r="19" spans="1:15">
      <c r="A19" t="str">
        <f>IF(ABS(J19+E19)&gt;0,基础信息!$B$1,"")</f>
        <v/>
      </c>
      <c r="B19" s="255"/>
      <c r="C19" s="276"/>
      <c r="D19" s="255"/>
      <c r="E19" s="255"/>
      <c r="F19" s="255"/>
      <c r="G19" s="255"/>
      <c r="H19" s="255"/>
      <c r="I19" s="255"/>
      <c r="J19" s="229">
        <f t="shared" si="0"/>
        <v>0</v>
      </c>
      <c r="K19" s="255"/>
      <c r="L19" s="255"/>
      <c r="M19" s="255"/>
      <c r="N19">
        <f t="shared" si="1"/>
        <v>0</v>
      </c>
      <c r="O19" s="255"/>
    </row>
    <row r="20" spans="1:15">
      <c r="A20" t="str">
        <f>IF(ABS(J20+E20)&gt;0,基础信息!$B$1,"")</f>
        <v/>
      </c>
      <c r="B20" s="255"/>
      <c r="C20" s="276"/>
      <c r="D20" s="255"/>
      <c r="E20" s="255"/>
      <c r="F20" s="255"/>
      <c r="G20" s="255"/>
      <c r="H20" s="255"/>
      <c r="I20" s="255"/>
      <c r="J20" s="229">
        <f t="shared" si="0"/>
        <v>0</v>
      </c>
      <c r="K20" s="255"/>
      <c r="L20" s="255"/>
      <c r="M20" s="255"/>
      <c r="N20">
        <f t="shared" si="1"/>
        <v>0</v>
      </c>
      <c r="O20" s="255"/>
    </row>
    <row r="21" spans="1:15">
      <c r="A21" t="str">
        <f>IF(ABS(J21+E21)&gt;0,基础信息!$B$1,"")</f>
        <v/>
      </c>
      <c r="B21" s="255"/>
      <c r="C21" s="276"/>
      <c r="D21" s="255"/>
      <c r="E21" s="255"/>
      <c r="F21" s="255"/>
      <c r="G21" s="255"/>
      <c r="H21" s="255"/>
      <c r="I21" s="255"/>
      <c r="J21" s="229">
        <f t="shared" si="0"/>
        <v>0</v>
      </c>
      <c r="K21" s="255"/>
      <c r="L21" s="255"/>
      <c r="M21" s="255"/>
      <c r="N21">
        <f t="shared" si="1"/>
        <v>0</v>
      </c>
      <c r="O21" s="255"/>
    </row>
    <row r="22" spans="1:15">
      <c r="A22" t="str">
        <f>IF(ABS(J22+E22)&gt;0,基础信息!$B$1,"")</f>
        <v/>
      </c>
      <c r="B22" s="255"/>
      <c r="C22" s="276"/>
      <c r="D22" s="255"/>
      <c r="E22" s="255"/>
      <c r="F22" s="255"/>
      <c r="G22" s="255"/>
      <c r="H22" s="255"/>
      <c r="I22" s="255"/>
      <c r="J22" s="229">
        <f t="shared" si="0"/>
        <v>0</v>
      </c>
      <c r="K22" s="255"/>
      <c r="L22" s="255"/>
      <c r="M22" s="255"/>
      <c r="N22">
        <f t="shared" si="1"/>
        <v>0</v>
      </c>
      <c r="O22" s="255"/>
    </row>
    <row r="23" spans="1:15">
      <c r="A23" t="str">
        <f>IF(ABS(J23+E23)&gt;0,基础信息!$B$1,"")</f>
        <v/>
      </c>
      <c r="B23" s="255"/>
      <c r="C23" s="276"/>
      <c r="D23" s="255"/>
      <c r="E23" s="255"/>
      <c r="F23" s="255"/>
      <c r="G23" s="255"/>
      <c r="H23" s="255"/>
      <c r="I23" s="255"/>
      <c r="J23" s="229">
        <f t="shared" si="0"/>
        <v>0</v>
      </c>
      <c r="K23" s="255"/>
      <c r="L23" s="255"/>
      <c r="M23" s="255"/>
      <c r="O23" s="255"/>
    </row>
    <row r="24" spans="1:15">
      <c r="A24" t="str">
        <f>IF(ABS(J24+E24)&gt;0,基础信息!$B$1,"")</f>
        <v/>
      </c>
      <c r="B24" s="255"/>
      <c r="C24" s="276"/>
    </row>
    <row r="25" spans="1:15">
      <c r="B25" s="255"/>
      <c r="C25" s="276"/>
    </row>
    <row r="26" spans="1:15">
      <c r="B26" s="255"/>
      <c r="C26" s="276"/>
    </row>
    <row r="27" spans="1:15">
      <c r="B27" s="255"/>
      <c r="C27"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分类表!$87:$87</xm:f>
          </x14:formula1>
          <xm:sqref>C2:C27</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sheetPr codeName="Sheet61">
    <tabColor rgb="FFFFC000"/>
  </sheetPr>
  <dimension ref="A1:C8"/>
  <sheetViews>
    <sheetView workbookViewId="0">
      <selection activeCell="F14" sqref="F14"/>
    </sheetView>
  </sheetViews>
  <sheetFormatPr defaultRowHeight="13.8"/>
  <cols>
    <col min="1" max="1" width="53.44140625" style="18" bestFit="1" customWidth="1"/>
    <col min="2" max="3" width="13.88671875" style="1" bestFit="1" customWidth="1"/>
    <col min="4" max="16384" width="8.88671875" style="18"/>
  </cols>
  <sheetData>
    <row r="1" spans="1:3" ht="14.4">
      <c r="A1" s="35" t="s">
        <v>28</v>
      </c>
      <c r="B1" s="154" t="s">
        <v>199</v>
      </c>
      <c r="C1" s="154" t="s">
        <v>200</v>
      </c>
    </row>
    <row r="2" spans="1:3" ht="14.4">
      <c r="A2" s="137" t="s">
        <v>2371</v>
      </c>
      <c r="B2" s="292">
        <f>ROUND(SUMIF(以公允价值计量且其变动计入当期损益的金融资产明细表!C:C,以公允价值计量且其变动计入当期损益的金融资产!A2,以公允价值计量且其变动计入当期损益的金融资产明细表!J:J),2)</f>
        <v>0</v>
      </c>
      <c r="C2" s="292">
        <f>ROUND(SUMIF(以公允价值计量且其变动计入当期损益的金融资产明细表!C:C,以公允价值计量且其变动计入当期损益的金融资产!A2,以公允价值计量且其变动计入当期损益的金融资产明细表!E:E),2)</f>
        <v>0</v>
      </c>
    </row>
    <row r="3" spans="1:3" ht="14.4">
      <c r="A3" s="137" t="s">
        <v>2372</v>
      </c>
      <c r="B3" s="292">
        <f>ROUND(SUMIF(以公允价值计量且其变动计入当期损益的金融资产明细表!C:C,以公允价值计量且其变动计入当期损益的金融资产!A3,以公允价值计量且其变动计入当期损益的金融资产明细表!J:J),2)</f>
        <v>0</v>
      </c>
      <c r="C3" s="292">
        <f>ROUND(SUMIF(以公允价值计量且其变动计入当期损益的金融资产明细表!C:C,以公允价值计量且其变动计入当期损益的金融资产!A3,以公允价值计量且其变动计入当期损益的金融资产明细表!E:E),2)</f>
        <v>0</v>
      </c>
    </row>
    <row r="4" spans="1:3" ht="14.4">
      <c r="A4" s="137" t="s">
        <v>2373</v>
      </c>
      <c r="B4" s="292">
        <f>ROUND(SUMIF(以公允价值计量且其变动计入当期损益的金融资产明细表!C:C,以公允价值计量且其变动计入当期损益的金融资产!A4,以公允价值计量且其变动计入当期损益的金融资产明细表!J:J),2)</f>
        <v>0</v>
      </c>
      <c r="C4" s="292">
        <f>ROUND(SUMIF(以公允价值计量且其变动计入当期损益的金融资产明细表!C:C,以公允价值计量且其变动计入当期损益的金融资产!A4,以公允价值计量且其变动计入当期损益的金融资产明细表!E:E),2)</f>
        <v>0</v>
      </c>
    </row>
    <row r="5" spans="1:3" ht="14.4">
      <c r="A5" s="137" t="s">
        <v>2375</v>
      </c>
      <c r="B5" s="292">
        <f>ROUND(SUMIF(以公允价值计量且其变动计入当期损益的金融资产明细表!C:C,以公允价值计量且其变动计入当期损益的金融资产!A5,以公允价值计量且其变动计入当期损益的金融资产明细表!J:J),2)</f>
        <v>0</v>
      </c>
      <c r="C5" s="292">
        <f>ROUND(SUMIF(以公允价值计量且其变动计入当期损益的金融资产明细表!C:C,以公允价值计量且其变动计入当期损益的金融资产!A5,以公允价值计量且其变动计入当期损益的金融资产明细表!E:E),2)</f>
        <v>0</v>
      </c>
    </row>
    <row r="6" spans="1:3" ht="14.4">
      <c r="A6" s="137" t="s">
        <v>2376</v>
      </c>
      <c r="B6" s="292">
        <f>ROUND(SUMIF(以公允价值计量且其变动计入当期损益的金融资产明细表!C:C,以公允价值计量且其变动计入当期损益的金融资产!A6,以公允价值计量且其变动计入当期损益的金融资产明细表!J:J),2)</f>
        <v>0</v>
      </c>
      <c r="C6" s="292">
        <f>ROUND(SUMIF(以公允价值计量且其变动计入当期损益的金融资产明细表!C:C,以公允价值计量且其变动计入当期损益的金融资产!A6,以公允价值计量且其变动计入当期损益的金融资产明细表!E:E),2)</f>
        <v>0</v>
      </c>
    </row>
    <row r="7" spans="1:3" ht="14.4">
      <c r="A7" s="137" t="s">
        <v>202</v>
      </c>
      <c r="B7" s="292">
        <f>ROUND(SUMIF(以公允价值计量且其变动计入当期损益的金融资产明细表!C:C,以公允价值计量且其变动计入当期损益的金融资产!A7,以公允价值计量且其变动计入当期损益的金融资产明细表!J:J),2)</f>
        <v>0</v>
      </c>
      <c r="C7" s="292">
        <f>ROUND(SUMIF(以公允价值计量且其变动计入当期损益的金融资产明细表!C:C,以公允价值计量且其变动计入当期损益的金融资产!A7,以公允价值计量且其变动计入当期损益的金融资产明细表!E:E),2)</f>
        <v>0</v>
      </c>
    </row>
    <row r="8" spans="1:3" ht="14.4">
      <c r="A8" s="35" t="s">
        <v>204</v>
      </c>
      <c r="B8" s="155">
        <f>ROUND(SUM(B2:B7),2)</f>
        <v>0</v>
      </c>
      <c r="C8" s="155">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D6E08-D9B9-46C9-B24C-A48533213E52}">
          <x14:formula1>
            <xm:f>分类表!$87:$87</xm:f>
          </x14:formula1>
          <xm:sqref>A2:A7</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sheetPr codeName="Sheet62"/>
  <dimension ref="A1:O28"/>
  <sheetViews>
    <sheetView topLeftCell="A4" workbookViewId="0">
      <selection activeCell="G24" sqref="G2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9" bestFit="1" customWidth="1"/>
    <col min="11" max="11" width="16.109375" style="229" bestFit="1" customWidth="1"/>
    <col min="12" max="13" width="20.44140625" style="229" bestFit="1" customWidth="1"/>
    <col min="14" max="14" width="9.5546875" style="229" bestFit="1" customWidth="1"/>
    <col min="15" max="15" width="27.109375" bestFit="1" customWidth="1"/>
    <col min="16" max="16" width="33.6640625" bestFit="1" customWidth="1"/>
  </cols>
  <sheetData>
    <row r="1" spans="1:15" s="261" customFormat="1">
      <c r="A1" s="261" t="s">
        <v>1976</v>
      </c>
      <c r="B1" s="261" t="s">
        <v>2358</v>
      </c>
      <c r="C1" s="261" t="s">
        <v>2359</v>
      </c>
      <c r="D1" s="261" t="s">
        <v>381</v>
      </c>
      <c r="E1" s="261" t="s">
        <v>2360</v>
      </c>
      <c r="F1" s="261" t="s">
        <v>2361</v>
      </c>
      <c r="G1" s="261" t="s">
        <v>2362</v>
      </c>
      <c r="H1" s="261" t="s">
        <v>2363</v>
      </c>
      <c r="I1" s="261" t="s">
        <v>2364</v>
      </c>
      <c r="J1" s="263" t="s">
        <v>2365</v>
      </c>
      <c r="K1" s="263" t="s">
        <v>2366</v>
      </c>
      <c r="L1" s="263" t="s">
        <v>2367</v>
      </c>
      <c r="M1" s="263" t="s">
        <v>2368</v>
      </c>
      <c r="N1" s="263" t="s">
        <v>2369</v>
      </c>
      <c r="O1" s="261" t="s">
        <v>2370</v>
      </c>
    </row>
    <row r="2" spans="1:15">
      <c r="A2" t="str">
        <f>IF(ABS(J2+E2)&gt;0,基础信息!$B$1,"")</f>
        <v/>
      </c>
      <c r="B2" s="255"/>
      <c r="C2" s="276"/>
      <c r="D2" s="255"/>
      <c r="E2" s="255"/>
      <c r="F2" s="255"/>
      <c r="G2" s="255"/>
      <c r="H2" s="255"/>
      <c r="I2" s="255"/>
      <c r="J2" s="229">
        <f t="shared" ref="J2:J23" si="0">E2+F2-G2-H2+I2</f>
        <v>0</v>
      </c>
      <c r="K2" s="288"/>
      <c r="L2" s="288"/>
      <c r="M2" s="288"/>
      <c r="N2" s="229">
        <f>K2+L2-M2</f>
        <v>0</v>
      </c>
      <c r="O2" s="255"/>
    </row>
    <row r="3" spans="1:15">
      <c r="A3" t="str">
        <f>IF(ABS(J3+E3)&gt;0,基础信息!$B$1,"")</f>
        <v/>
      </c>
      <c r="B3" s="255"/>
      <c r="C3" s="276"/>
      <c r="D3" s="255"/>
      <c r="E3" s="255"/>
      <c r="F3" s="255"/>
      <c r="G3" s="255"/>
      <c r="H3" s="255"/>
      <c r="I3" s="255"/>
      <c r="J3" s="229">
        <f t="shared" si="0"/>
        <v>0</v>
      </c>
      <c r="K3" s="288"/>
      <c r="L3" s="288"/>
      <c r="M3" s="288"/>
      <c r="N3" s="229">
        <f>K3+L3-M3</f>
        <v>0</v>
      </c>
      <c r="O3" s="255"/>
    </row>
    <row r="4" spans="1:15">
      <c r="A4" t="str">
        <f>IF(ABS(J4+E4)&gt;0,基础信息!$B$1,"")</f>
        <v/>
      </c>
      <c r="B4" s="255"/>
      <c r="C4" s="276"/>
      <c r="D4" s="255"/>
      <c r="E4" s="255"/>
      <c r="F4" s="255"/>
      <c r="G4" s="255"/>
      <c r="H4" s="255"/>
      <c r="I4" s="255"/>
      <c r="J4" s="229">
        <f t="shared" si="0"/>
        <v>0</v>
      </c>
      <c r="K4" s="288"/>
      <c r="L4" s="288"/>
      <c r="M4" s="288"/>
      <c r="N4" s="229">
        <f>K4+L4-M4</f>
        <v>0</v>
      </c>
      <c r="O4" s="255"/>
    </row>
    <row r="5" spans="1:15">
      <c r="A5" t="str">
        <f>IF(ABS(J5+E5)&gt;0,基础信息!$B$1,"")</f>
        <v/>
      </c>
      <c r="B5" s="255"/>
      <c r="C5" s="276"/>
      <c r="D5" s="255"/>
      <c r="E5" s="255"/>
      <c r="F5" s="255"/>
      <c r="G5" s="255"/>
      <c r="H5" s="255"/>
      <c r="I5" s="255"/>
      <c r="J5" s="229">
        <f t="shared" si="0"/>
        <v>0</v>
      </c>
      <c r="K5" s="288"/>
      <c r="L5" s="288"/>
      <c r="M5" s="288"/>
      <c r="N5" s="229">
        <f>K5+L5-M5</f>
        <v>0</v>
      </c>
      <c r="O5" s="255"/>
    </row>
    <row r="6" spans="1:15">
      <c r="A6" t="str">
        <f>IF(ABS(J6+E6)&gt;0,基础信息!$B$1,"")</f>
        <v/>
      </c>
      <c r="B6" s="255"/>
      <c r="C6" s="276"/>
      <c r="D6" s="255"/>
      <c r="E6" s="255"/>
      <c r="F6" s="255"/>
      <c r="G6" s="255"/>
      <c r="H6" s="255"/>
      <c r="I6" s="255"/>
      <c r="J6" s="229">
        <f t="shared" si="0"/>
        <v>0</v>
      </c>
      <c r="K6" s="288"/>
      <c r="L6" s="288"/>
      <c r="M6" s="288"/>
      <c r="N6" s="229">
        <f>K6+L6-M6</f>
        <v>0</v>
      </c>
      <c r="O6" s="255"/>
    </row>
    <row r="7" spans="1:15">
      <c r="A7" t="str">
        <f>IF(ABS(J7+E7)&gt;0,基础信息!$B$1,"")</f>
        <v/>
      </c>
      <c r="B7" s="255"/>
      <c r="C7" s="276"/>
      <c r="D7" s="255"/>
      <c r="E7" s="255"/>
      <c r="F7" s="255"/>
      <c r="G7" s="255"/>
      <c r="H7" s="255"/>
      <c r="I7" s="255"/>
      <c r="J7" s="229">
        <f t="shared" si="0"/>
        <v>0</v>
      </c>
      <c r="K7" s="288"/>
      <c r="L7" s="288"/>
      <c r="M7" s="288"/>
      <c r="N7" s="229">
        <f t="shared" ref="N7:N22" si="1">K7+L7-M7</f>
        <v>0</v>
      </c>
      <c r="O7" s="255"/>
    </row>
    <row r="8" spans="1:15">
      <c r="A8" t="str">
        <f>IF(ABS(J8+E8)&gt;0,基础信息!$B$1,"")</f>
        <v/>
      </c>
      <c r="B8" s="255"/>
      <c r="C8" s="276"/>
      <c r="D8" s="255"/>
      <c r="E8" s="255"/>
      <c r="F8" s="255"/>
      <c r="G8" s="255"/>
      <c r="H8" s="255"/>
      <c r="I8" s="255"/>
      <c r="J8" s="229">
        <f t="shared" si="0"/>
        <v>0</v>
      </c>
      <c r="K8" s="288"/>
      <c r="L8" s="288"/>
      <c r="M8" s="288"/>
      <c r="N8" s="229">
        <f t="shared" si="1"/>
        <v>0</v>
      </c>
      <c r="O8" s="255"/>
    </row>
    <row r="9" spans="1:15">
      <c r="A9" t="str">
        <f>IF(ABS(J9+E9)&gt;0,基础信息!$B$1,"")</f>
        <v/>
      </c>
      <c r="B9" s="255"/>
      <c r="C9" s="276"/>
      <c r="D9" s="255"/>
      <c r="E9" s="255"/>
      <c r="F9" s="255"/>
      <c r="G9" s="255"/>
      <c r="H9" s="255"/>
      <c r="I9" s="255"/>
      <c r="J9" s="229">
        <f t="shared" si="0"/>
        <v>0</v>
      </c>
      <c r="K9" s="288"/>
      <c r="L9" s="288"/>
      <c r="M9" s="288"/>
      <c r="N9" s="229">
        <f t="shared" si="1"/>
        <v>0</v>
      </c>
      <c r="O9" s="255"/>
    </row>
    <row r="10" spans="1:15">
      <c r="A10" t="str">
        <f>IF(ABS(J10+E10)&gt;0,基础信息!$B$1,"")</f>
        <v/>
      </c>
      <c r="B10" s="255"/>
      <c r="C10" s="276"/>
      <c r="D10" s="255"/>
      <c r="E10" s="255"/>
      <c r="F10" s="255"/>
      <c r="G10" s="255"/>
      <c r="H10" s="255"/>
      <c r="I10" s="255"/>
      <c r="J10" s="229">
        <f t="shared" si="0"/>
        <v>0</v>
      </c>
      <c r="K10" s="288"/>
      <c r="L10" s="288"/>
      <c r="M10" s="288"/>
      <c r="N10" s="229">
        <f t="shared" si="1"/>
        <v>0</v>
      </c>
      <c r="O10" s="255"/>
    </row>
    <row r="11" spans="1:15">
      <c r="A11" t="str">
        <f>IF(ABS(J11+E11)&gt;0,基础信息!$B$1,"")</f>
        <v/>
      </c>
      <c r="B11" s="255"/>
      <c r="C11" s="276"/>
      <c r="D11" s="255"/>
      <c r="E11" s="255"/>
      <c r="F11" s="255"/>
      <c r="G11" s="255"/>
      <c r="H11" s="255"/>
      <c r="I11" s="255"/>
      <c r="J11" s="229">
        <f t="shared" si="0"/>
        <v>0</v>
      </c>
      <c r="K11" s="288"/>
      <c r="L11" s="288"/>
      <c r="M11" s="288"/>
      <c r="N11" s="229">
        <f t="shared" si="1"/>
        <v>0</v>
      </c>
      <c r="O11" s="255"/>
    </row>
    <row r="12" spans="1:15">
      <c r="A12" t="str">
        <f>IF(ABS(J12+E12)&gt;0,基础信息!$B$1,"")</f>
        <v/>
      </c>
      <c r="B12" s="255"/>
      <c r="C12" s="276"/>
      <c r="D12" s="255"/>
      <c r="E12" s="255"/>
      <c r="F12" s="255"/>
      <c r="G12" s="255"/>
      <c r="H12" s="255"/>
      <c r="I12" s="255"/>
      <c r="J12" s="229">
        <f t="shared" si="0"/>
        <v>0</v>
      </c>
      <c r="K12" s="288"/>
      <c r="L12" s="288"/>
      <c r="M12" s="288"/>
      <c r="N12" s="229">
        <f t="shared" si="1"/>
        <v>0</v>
      </c>
      <c r="O12" s="255"/>
    </row>
    <row r="13" spans="1:15">
      <c r="A13" t="str">
        <f>IF(ABS(J13+E13)&gt;0,基础信息!$B$1,"")</f>
        <v/>
      </c>
      <c r="B13" s="255"/>
      <c r="C13" s="276"/>
      <c r="D13" s="255"/>
      <c r="E13" s="255"/>
      <c r="F13" s="255"/>
      <c r="G13" s="255"/>
      <c r="H13" s="255"/>
      <c r="I13" s="255"/>
      <c r="J13" s="229">
        <f t="shared" si="0"/>
        <v>0</v>
      </c>
      <c r="K13" s="288"/>
      <c r="L13" s="288"/>
      <c r="M13" s="288"/>
      <c r="N13" s="229">
        <f t="shared" si="1"/>
        <v>0</v>
      </c>
      <c r="O13" s="255"/>
    </row>
    <row r="14" spans="1:15">
      <c r="A14" t="str">
        <f>IF(ABS(J14+E14)&gt;0,基础信息!$B$1,"")</f>
        <v/>
      </c>
      <c r="B14" s="255"/>
      <c r="C14" s="276"/>
      <c r="D14" s="255"/>
      <c r="E14" s="255"/>
      <c r="F14" s="255"/>
      <c r="G14" s="255"/>
      <c r="H14" s="255"/>
      <c r="I14" s="255"/>
      <c r="J14" s="229">
        <f t="shared" si="0"/>
        <v>0</v>
      </c>
      <c r="K14" s="288"/>
      <c r="L14" s="288"/>
      <c r="M14" s="288"/>
      <c r="N14" s="229">
        <f t="shared" si="1"/>
        <v>0</v>
      </c>
      <c r="O14" s="255"/>
    </row>
    <row r="15" spans="1:15">
      <c r="A15" t="str">
        <f>IF(ABS(J15+E15)&gt;0,基础信息!$B$1,"")</f>
        <v/>
      </c>
      <c r="B15" s="255"/>
      <c r="C15" s="276"/>
      <c r="D15" s="255"/>
      <c r="E15" s="255"/>
      <c r="F15" s="255"/>
      <c r="G15" s="255"/>
      <c r="H15" s="255"/>
      <c r="I15" s="255"/>
      <c r="J15" s="229">
        <f t="shared" si="0"/>
        <v>0</v>
      </c>
      <c r="K15" s="288"/>
      <c r="L15" s="288"/>
      <c r="M15" s="288"/>
      <c r="N15" s="229">
        <f t="shared" si="1"/>
        <v>0</v>
      </c>
      <c r="O15" s="255"/>
    </row>
    <row r="16" spans="1:15">
      <c r="A16" t="str">
        <f>IF(ABS(J16+E16)&gt;0,基础信息!$B$1,"")</f>
        <v/>
      </c>
      <c r="B16" s="255"/>
      <c r="C16" s="276"/>
      <c r="D16" s="255"/>
      <c r="E16" s="255"/>
      <c r="F16" s="255"/>
      <c r="G16" s="255"/>
      <c r="H16" s="255"/>
      <c r="I16" s="255"/>
      <c r="J16" s="229">
        <f t="shared" si="0"/>
        <v>0</v>
      </c>
      <c r="K16" s="288"/>
      <c r="L16" s="288"/>
      <c r="M16" s="288"/>
      <c r="N16" s="229">
        <f t="shared" si="1"/>
        <v>0</v>
      </c>
      <c r="O16" s="255"/>
    </row>
    <row r="17" spans="1:15">
      <c r="A17" t="str">
        <f>IF(ABS(J17+E17)&gt;0,基础信息!$B$1,"")</f>
        <v/>
      </c>
      <c r="B17" s="255"/>
      <c r="C17" s="276"/>
      <c r="D17" s="255"/>
      <c r="E17" s="255"/>
      <c r="F17" s="255"/>
      <c r="G17" s="255"/>
      <c r="H17" s="255"/>
      <c r="I17" s="255"/>
      <c r="J17" s="229">
        <f t="shared" si="0"/>
        <v>0</v>
      </c>
      <c r="K17" s="288"/>
      <c r="L17" s="288"/>
      <c r="M17" s="288"/>
      <c r="N17" s="229">
        <f t="shared" si="1"/>
        <v>0</v>
      </c>
      <c r="O17" s="255"/>
    </row>
    <row r="18" spans="1:15">
      <c r="A18" t="str">
        <f>IF(ABS(J18+E18)&gt;0,基础信息!$B$1,"")</f>
        <v/>
      </c>
      <c r="B18" s="255"/>
      <c r="C18" s="276"/>
      <c r="D18" s="255"/>
      <c r="E18" s="255"/>
      <c r="F18" s="255"/>
      <c r="G18" s="255"/>
      <c r="H18" s="255"/>
      <c r="I18" s="255"/>
      <c r="J18" s="229">
        <f t="shared" si="0"/>
        <v>0</v>
      </c>
      <c r="K18" s="288"/>
      <c r="L18" s="288"/>
      <c r="M18" s="288"/>
      <c r="N18" s="229">
        <f t="shared" si="1"/>
        <v>0</v>
      </c>
      <c r="O18" s="255"/>
    </row>
    <row r="19" spans="1:15">
      <c r="A19" t="str">
        <f>IF(ABS(J19+E19)&gt;0,基础信息!$B$1,"")</f>
        <v/>
      </c>
      <c r="B19" s="255"/>
      <c r="C19" s="276"/>
      <c r="D19" s="255"/>
      <c r="E19" s="255"/>
      <c r="F19" s="255"/>
      <c r="G19" s="255"/>
      <c r="H19" s="255"/>
      <c r="I19" s="255"/>
      <c r="J19" s="229">
        <f t="shared" si="0"/>
        <v>0</v>
      </c>
      <c r="K19" s="288"/>
      <c r="L19" s="288"/>
      <c r="M19" s="288"/>
      <c r="N19" s="229">
        <f t="shared" si="1"/>
        <v>0</v>
      </c>
      <c r="O19" s="255"/>
    </row>
    <row r="20" spans="1:15">
      <c r="A20" t="str">
        <f>IF(ABS(J20+E20)&gt;0,基础信息!$B$1,"")</f>
        <v/>
      </c>
      <c r="B20" s="255"/>
      <c r="C20" s="276"/>
      <c r="D20" s="255"/>
      <c r="E20" s="255"/>
      <c r="F20" s="255"/>
      <c r="G20" s="255"/>
      <c r="H20" s="255"/>
      <c r="I20" s="255"/>
      <c r="J20" s="229">
        <f t="shared" si="0"/>
        <v>0</v>
      </c>
      <c r="K20" s="288"/>
      <c r="L20" s="288"/>
      <c r="M20" s="288"/>
      <c r="N20" s="229">
        <f t="shared" si="1"/>
        <v>0</v>
      </c>
      <c r="O20" s="255"/>
    </row>
    <row r="21" spans="1:15">
      <c r="A21" t="str">
        <f>IF(ABS(J21+E21)&gt;0,基础信息!$B$1,"")</f>
        <v/>
      </c>
      <c r="B21" s="255"/>
      <c r="C21" s="276"/>
      <c r="D21" s="255"/>
      <c r="E21" s="255"/>
      <c r="F21" s="255"/>
      <c r="G21" s="255"/>
      <c r="H21" s="255"/>
      <c r="I21" s="255"/>
      <c r="J21" s="229">
        <f t="shared" si="0"/>
        <v>0</v>
      </c>
      <c r="K21" s="288"/>
      <c r="L21" s="288"/>
      <c r="M21" s="288"/>
      <c r="N21" s="229">
        <f t="shared" si="1"/>
        <v>0</v>
      </c>
      <c r="O21" s="255"/>
    </row>
    <row r="22" spans="1:15">
      <c r="A22" t="str">
        <f>IF(ABS(J22+E22)&gt;0,基础信息!$B$1,"")</f>
        <v/>
      </c>
      <c r="B22" s="255"/>
      <c r="C22" s="276"/>
      <c r="D22" s="255"/>
      <c r="E22" s="255"/>
      <c r="F22" s="255"/>
      <c r="G22" s="255"/>
      <c r="H22" s="255"/>
      <c r="I22" s="255"/>
      <c r="J22" s="229">
        <f t="shared" si="0"/>
        <v>0</v>
      </c>
      <c r="K22" s="288"/>
      <c r="L22" s="288"/>
      <c r="M22" s="288"/>
      <c r="N22" s="229">
        <f t="shared" si="1"/>
        <v>0</v>
      </c>
      <c r="O22" s="255"/>
    </row>
    <row r="23" spans="1:15">
      <c r="A23" t="str">
        <f>IF(ABS(J23+E23)&gt;0,基础信息!$B$1,"")</f>
        <v/>
      </c>
      <c r="B23" s="255"/>
      <c r="C23" s="276"/>
      <c r="D23" s="255"/>
      <c r="E23" s="255"/>
      <c r="F23" s="255"/>
      <c r="G23" s="255"/>
      <c r="H23" s="255"/>
      <c r="I23" s="255"/>
      <c r="J23" s="229">
        <f t="shared" si="0"/>
        <v>0</v>
      </c>
      <c r="K23" s="288"/>
      <c r="L23" s="288"/>
      <c r="M23" s="288"/>
      <c r="O23" s="255"/>
    </row>
    <row r="24" spans="1:15">
      <c r="A24" t="str">
        <f>IF(ABS(J24+E24)&gt;0,基础信息!$B$1,"")</f>
        <v/>
      </c>
      <c r="B24" s="255"/>
      <c r="C24" s="276"/>
      <c r="D24" s="255"/>
      <c r="E24" s="255"/>
      <c r="F24" s="255"/>
      <c r="G24" s="255"/>
      <c r="H24" s="255"/>
      <c r="I24" s="255"/>
      <c r="K24" s="288"/>
      <c r="L24" s="288"/>
      <c r="M24" s="288"/>
      <c r="O24" s="255"/>
    </row>
    <row r="25" spans="1:15">
      <c r="B25" s="255"/>
      <c r="C25" s="276"/>
      <c r="D25" s="255"/>
      <c r="E25" s="255"/>
      <c r="F25" s="255"/>
      <c r="G25" s="255"/>
      <c r="H25" s="255"/>
      <c r="I25" s="255"/>
      <c r="K25" s="288"/>
      <c r="L25" s="288"/>
      <c r="M25" s="288"/>
      <c r="O25" s="255"/>
    </row>
    <row r="26" spans="1:15">
      <c r="B26" s="255"/>
      <c r="C26" s="276"/>
      <c r="D26" s="255"/>
      <c r="E26" s="255"/>
      <c r="F26" s="255"/>
      <c r="G26" s="255"/>
      <c r="H26" s="255"/>
      <c r="I26" s="255"/>
      <c r="K26" s="288"/>
      <c r="L26" s="288"/>
      <c r="M26" s="288"/>
      <c r="O26" s="255"/>
    </row>
    <row r="27" spans="1:15">
      <c r="B27" s="255"/>
      <c r="C27" s="276"/>
      <c r="D27" s="255"/>
      <c r="E27" s="255"/>
      <c r="F27" s="255"/>
      <c r="G27" s="255"/>
      <c r="H27" s="255"/>
      <c r="I27" s="255"/>
      <c r="K27" s="288"/>
      <c r="L27" s="288"/>
      <c r="M27" s="288"/>
      <c r="O27" s="255"/>
    </row>
    <row r="28" spans="1:15">
      <c r="C28"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分类表!$87:$87</xm:f>
          </x14:formula1>
          <xm:sqref>C2:C28</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sheetPr codeName="Sheet63">
    <tabColor rgb="FFFFC000"/>
  </sheetPr>
  <dimension ref="A1:C10"/>
  <sheetViews>
    <sheetView workbookViewId="0">
      <selection activeCell="E9" sqref="E9"/>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28</v>
      </c>
      <c r="B1" s="153" t="s">
        <v>199</v>
      </c>
      <c r="C1" s="153" t="s">
        <v>200</v>
      </c>
    </row>
    <row r="2" spans="1:3" ht="14.4">
      <c r="A2" s="137" t="s">
        <v>2378</v>
      </c>
      <c r="B2" s="293">
        <f>ROUND(SUMIF(衍生金融资产明细表!B:B,衍生金融资产!A2,衍生金融资产明细表!C:C),2)</f>
        <v>0</v>
      </c>
      <c r="C2" s="293">
        <f>ROUND(SUMIF(衍生金融资产明细表!B:B,衍生金融资产!A2,衍生金融资产明细表!D:D),2)</f>
        <v>0</v>
      </c>
    </row>
    <row r="3" spans="1:3" ht="14.4">
      <c r="A3" s="137" t="s">
        <v>2379</v>
      </c>
      <c r="B3" s="293">
        <f>ROUND(SUMIF(衍生金融资产明细表!B:B,衍生金融资产!A3,衍生金融资产明细表!C:C),2)</f>
        <v>0</v>
      </c>
      <c r="C3" s="293">
        <f>ROUND(SUMIF(衍生金融资产明细表!B:B,衍生金融资产!A3,衍生金融资产明细表!D:D),2)</f>
        <v>0</v>
      </c>
    </row>
    <row r="4" spans="1:3" ht="14.4">
      <c r="A4" s="137"/>
      <c r="B4" s="293">
        <f>ROUND(SUMIF(衍生金融资产明细表!B:B,衍生金融资产!A4,衍生金融资产明细表!C:C),2)</f>
        <v>0</v>
      </c>
      <c r="C4" s="293">
        <f>ROUND(SUMIF(衍生金融资产明细表!B:B,衍生金融资产!A4,衍生金融资产明细表!D:D),2)</f>
        <v>0</v>
      </c>
    </row>
    <row r="5" spans="1:3" ht="14.4">
      <c r="A5" s="137"/>
      <c r="B5" s="293">
        <f>ROUND(SUMIF(衍生金融资产明细表!B:B,衍生金融资产!A5,衍生金融资产明细表!C:C),2)</f>
        <v>0</v>
      </c>
      <c r="C5" s="293">
        <f>ROUND(SUMIF(衍生金融资产明细表!B:B,衍生金融资产!A5,衍生金融资产明细表!D:D),2)</f>
        <v>0</v>
      </c>
    </row>
    <row r="6" spans="1:3" ht="14.4">
      <c r="A6" s="137"/>
      <c r="B6" s="293">
        <f>ROUND(SUMIF(衍生金融资产明细表!B:B,衍生金融资产!A6,衍生金融资产明细表!C:C),2)</f>
        <v>0</v>
      </c>
      <c r="C6" s="293">
        <f>ROUND(SUMIF(衍生金融资产明细表!B:B,衍生金融资产!A6,衍生金融资产明细表!D:D),2)</f>
        <v>0</v>
      </c>
    </row>
    <row r="7" spans="1:3" ht="14.4">
      <c r="A7" s="137"/>
      <c r="B7" s="293">
        <f>ROUND(SUMIF(衍生金融资产明细表!B:B,衍生金融资产!A7,衍生金融资产明细表!C:C),2)</f>
        <v>0</v>
      </c>
      <c r="C7" s="293">
        <f>ROUND(SUMIF(衍生金融资产明细表!B:B,衍生金融资产!A7,衍生金融资产明细表!D:D),2)</f>
        <v>0</v>
      </c>
    </row>
    <row r="8" spans="1:3" ht="14.4">
      <c r="A8" s="137"/>
      <c r="B8" s="293">
        <f>ROUND(SUMIF(衍生金融资产明细表!B:B,衍生金融资产!A8,衍生金融资产明细表!C:C),2)</f>
        <v>0</v>
      </c>
      <c r="C8" s="293">
        <f>ROUND(SUMIF(衍生金融资产明细表!B:B,衍生金融资产!A8,衍生金融资产明细表!D:D),2)</f>
        <v>0</v>
      </c>
    </row>
    <row r="9" spans="1:3" ht="14.4">
      <c r="A9" s="137"/>
      <c r="B9" s="293">
        <f>ROUND(SUMIF(衍生金融资产明细表!B:B,衍生金融资产!A9,衍生金融资产明细表!C:C),2)</f>
        <v>0</v>
      </c>
      <c r="C9" s="293">
        <f>ROUND(SUMIF(衍生金融资产明细表!B:B,衍生金融资产!A9,衍生金融资产明细表!D:D),2)</f>
        <v>0</v>
      </c>
    </row>
    <row r="10" spans="1:3">
      <c r="A10" s="62" t="s">
        <v>204</v>
      </c>
      <c r="B10" s="1">
        <f>ROUND(SUM(B2:B9),2)</f>
        <v>0</v>
      </c>
      <c r="C10" s="1">
        <f>ROUND(SUM(C2:C9),2)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分类表!$88:$88</xm:f>
          </x14:formula1>
          <xm:sqref>A2:A9</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sheetPr codeName="Sheet64"/>
  <dimension ref="A1:D14"/>
  <sheetViews>
    <sheetView workbookViewId="0">
      <selection activeCell="A5" sqref="A5"/>
    </sheetView>
  </sheetViews>
  <sheetFormatPr defaultRowHeight="13.8"/>
  <sheetData>
    <row r="1" spans="1:4">
      <c r="A1" s="261" t="s">
        <v>1976</v>
      </c>
      <c r="B1" s="261" t="s">
        <v>1977</v>
      </c>
      <c r="C1" s="261" t="s">
        <v>199</v>
      </c>
      <c r="D1" s="261" t="s">
        <v>200</v>
      </c>
    </row>
    <row r="2" spans="1:4">
      <c r="A2" t="str">
        <f>IF((ABS(C2)+ABS(D2))&gt;0,基础信息!$B$1,"")</f>
        <v/>
      </c>
      <c r="B2" s="276"/>
      <c r="C2" s="255"/>
      <c r="D2" s="255"/>
    </row>
    <row r="3" spans="1:4">
      <c r="A3" t="str">
        <f>IF((ABS(C3)+ABS(D3))&gt;0,基础信息!$B$1,"")</f>
        <v/>
      </c>
      <c r="B3" s="276"/>
      <c r="C3" s="255"/>
      <c r="D3" s="255"/>
    </row>
    <row r="4" spans="1:4">
      <c r="A4" t="str">
        <f>IF((ABS(C4)+ABS(D4))&gt;0,基础信息!$B$1,"")</f>
        <v/>
      </c>
      <c r="B4" s="276"/>
      <c r="C4" s="255"/>
      <c r="D4" s="255"/>
    </row>
    <row r="5" spans="1:4">
      <c r="A5" t="str">
        <f>IF((ABS(C5)+ABS(D5))&gt;0,基础信息!$B$1,"")</f>
        <v/>
      </c>
      <c r="B5" s="276"/>
      <c r="C5" s="255"/>
      <c r="D5" s="255"/>
    </row>
    <row r="6" spans="1:4">
      <c r="A6" t="str">
        <f>IF((ABS(C6)+ABS(D6))&gt;0,基础信息!$B$1,"")</f>
        <v/>
      </c>
      <c r="B6" s="276"/>
      <c r="C6" s="255"/>
      <c r="D6" s="255"/>
    </row>
    <row r="7" spans="1:4">
      <c r="A7" t="str">
        <f>IF((ABS(C7)+ABS(D7))&gt;0,基础信息!$B$1,"")</f>
        <v/>
      </c>
      <c r="B7" s="276"/>
      <c r="C7" s="255"/>
      <c r="D7" s="255"/>
    </row>
    <row r="8" spans="1:4">
      <c r="A8" t="str">
        <f>IF((ABS(C8)+ABS(D8))&gt;0,基础信息!$B$1,"")</f>
        <v/>
      </c>
      <c r="B8" s="276"/>
      <c r="C8" s="255"/>
      <c r="D8" s="255"/>
    </row>
    <row r="9" spans="1:4">
      <c r="A9" t="str">
        <f>IF((ABS(C9)+ABS(D9))&gt;0,基础信息!$B$1,"")</f>
        <v/>
      </c>
      <c r="B9" s="276"/>
      <c r="C9" s="255"/>
      <c r="D9" s="255"/>
    </row>
    <row r="10" spans="1:4">
      <c r="A10" t="str">
        <f>IF((ABS(C10)+ABS(D10))&gt;0,基础信息!$B$1,"")</f>
        <v/>
      </c>
      <c r="B10" s="276"/>
      <c r="C10" s="255"/>
      <c r="D10" s="255"/>
    </row>
    <row r="11" spans="1:4">
      <c r="A11" t="str">
        <f>IF((ABS(C11)+ABS(D11))&gt;0,基础信息!$B$1,"")</f>
        <v/>
      </c>
      <c r="B11" s="276"/>
      <c r="C11" s="255"/>
      <c r="D11" s="255"/>
    </row>
    <row r="12" spans="1:4">
      <c r="A12" t="str">
        <f>IF((ABS(C12)+ABS(D12))&gt;0,基础信息!$B$1,"")</f>
        <v/>
      </c>
      <c r="B12" s="276"/>
      <c r="C12" s="255"/>
      <c r="D12" s="255"/>
    </row>
    <row r="13" spans="1:4">
      <c r="A13" t="str">
        <f>IF((ABS(C13)+ABS(D13))&gt;0,基础信息!$B$1,"")</f>
        <v/>
      </c>
      <c r="B13" s="276"/>
      <c r="C13" s="255"/>
      <c r="D13" s="255"/>
    </row>
    <row r="14" spans="1:4">
      <c r="A14" t="str">
        <f>IF((ABS(C14)+ABS(D14))&gt;0,基础信息!$B$1,"")</f>
        <v/>
      </c>
      <c r="B14" s="276"/>
      <c r="C14" s="255"/>
      <c r="D14"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分类表!$88:$88</xm:f>
          </x14:formula1>
          <xm:sqref>B2:B14</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codeName="Sheet65">
    <tabColor rgb="FFFFC000"/>
  </sheetPr>
  <dimension ref="A1:G7"/>
  <sheetViews>
    <sheetView workbookViewId="0">
      <selection activeCell="H29" sqref="H29"/>
    </sheetView>
  </sheetViews>
  <sheetFormatPr defaultRowHeight="13.8"/>
  <cols>
    <col min="1" max="7" width="13.88671875" style="18" bestFit="1" customWidth="1"/>
    <col min="8" max="16384" width="8.88671875" style="18"/>
  </cols>
  <sheetData>
    <row r="1" spans="1:7" ht="14.4">
      <c r="A1" s="32" t="s">
        <v>205</v>
      </c>
      <c r="B1" s="32" t="s">
        <v>214</v>
      </c>
      <c r="C1" s="32" t="s">
        <v>215</v>
      </c>
      <c r="D1" s="32" t="s">
        <v>216</v>
      </c>
      <c r="E1" s="32" t="s">
        <v>217</v>
      </c>
      <c r="F1" s="32" t="s">
        <v>219</v>
      </c>
      <c r="G1" s="32" t="s">
        <v>221</v>
      </c>
    </row>
    <row r="2" spans="1:7" ht="15">
      <c r="A2" s="529" t="s">
        <v>206</v>
      </c>
      <c r="B2" s="295">
        <f>ROUND(SUMIF(应收票据明细表!C:C,A2,应收票据明细表!F:F),2)</f>
        <v>0</v>
      </c>
      <c r="C2" s="296">
        <f>ROUND(SUMIF(应收票据明细表!C:C,应收票据分类新金融工具准则!A2,应收票据明细表!K:K),2)</f>
        <v>0</v>
      </c>
      <c r="D2" s="68">
        <f>ROUND(B2-C2,2)</f>
        <v>0</v>
      </c>
      <c r="E2" s="278"/>
      <c r="F2" s="278"/>
      <c r="G2" s="68">
        <f>ROUND(E2-F2,2)</f>
        <v>0</v>
      </c>
    </row>
    <row r="3" spans="1:7" ht="15">
      <c r="A3" s="529" t="s">
        <v>207</v>
      </c>
      <c r="B3" s="295">
        <f>ROUND(SUMIF(应收票据明细表!C:C,A3,应收票据明细表!F:F),2)</f>
        <v>0</v>
      </c>
      <c r="C3" s="296">
        <f>ROUND(SUMIF(应收票据明细表!C:C,应收票据分类新金融工具准则!A3,应收票据明细表!K:K),2)</f>
        <v>0</v>
      </c>
      <c r="D3" s="68">
        <f>ROUND(B3-C3,2)</f>
        <v>0</v>
      </c>
      <c r="E3" s="278"/>
      <c r="F3" s="278"/>
      <c r="G3" s="68">
        <f>ROUND(E3-F3,2)</f>
        <v>0</v>
      </c>
    </row>
    <row r="4" spans="1:7" ht="14.4">
      <c r="A4" s="20" t="s">
        <v>204</v>
      </c>
      <c r="B4" s="151">
        <f t="shared" ref="B4:G4" si="0">ROUND(SUM(B2:B3),2)</f>
        <v>0</v>
      </c>
      <c r="C4" s="151">
        <f t="shared" si="0"/>
        <v>0</v>
      </c>
      <c r="D4" s="151">
        <f t="shared" si="0"/>
        <v>0</v>
      </c>
      <c r="E4" s="151">
        <f t="shared" si="0"/>
        <v>0</v>
      </c>
      <c r="F4" s="151">
        <f t="shared" si="0"/>
        <v>0</v>
      </c>
      <c r="G4" s="151">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CCAB56-7FD1-4903-A73C-16EFD33E8C97}">
          <x14:formula1>
            <xm:f>分类表!$7:$7</xm:f>
          </x14:formula1>
          <xm:sqref>A2:A3</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sheetPr codeName="Sheet66">
    <tabColor rgb="FF92D050"/>
  </sheetPr>
  <dimension ref="A1:B4"/>
  <sheetViews>
    <sheetView workbookViewId="0">
      <selection activeCell="I28" sqref="I28"/>
    </sheetView>
  </sheetViews>
  <sheetFormatPr defaultRowHeight="13.8"/>
  <cols>
    <col min="1" max="1" width="13.88671875" style="18" bestFit="1" customWidth="1"/>
    <col min="2" max="2" width="16.109375" style="1" bestFit="1" customWidth="1"/>
    <col min="3" max="16384" width="8.88671875" style="18"/>
  </cols>
  <sheetData>
    <row r="1" spans="1:2" ht="14.4">
      <c r="A1" s="20" t="s">
        <v>205</v>
      </c>
      <c r="B1" s="153" t="s">
        <v>208</v>
      </c>
    </row>
    <row r="2" spans="1:2" ht="15">
      <c r="A2" s="529" t="s">
        <v>206</v>
      </c>
      <c r="B2" s="297">
        <f>ROUND(SUMIF(已质押票据明细表!C:C,已质押应收票据!A2,已质押票据明细表!F:F),2)</f>
        <v>0</v>
      </c>
    </row>
    <row r="3" spans="1:2" ht="15">
      <c r="A3" s="529" t="s">
        <v>207</v>
      </c>
      <c r="B3" s="297">
        <f>ROUND(SUMIF(已质押票据明细表!C:C,已质押应收票据!A3,已质押票据明细表!F:F),2)</f>
        <v>0</v>
      </c>
    </row>
    <row r="4" spans="1:2" ht="14.4">
      <c r="A4" s="20" t="s">
        <v>204</v>
      </c>
      <c r="B4" s="157">
        <f>ROUND(SUM(B2:B3),2)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F3B4EB-41E2-4B80-AC51-A761E2835245}">
          <x14:formula1>
            <xm:f>分类表!$7:$7</xm:f>
          </x14:formula1>
          <xm:sqref>A2:A3</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sheetPr codeName="Sheet67"/>
  <dimension ref="A1:H21"/>
  <sheetViews>
    <sheetView workbookViewId="0">
      <selection activeCell="A5" sqref="A5"/>
    </sheetView>
  </sheetViews>
  <sheetFormatPr defaultRowHeight="13.8"/>
  <sheetData>
    <row r="1" spans="1:8">
      <c r="A1" t="s">
        <v>2383</v>
      </c>
      <c r="B1" t="s">
        <v>2381</v>
      </c>
      <c r="C1" t="s">
        <v>2382</v>
      </c>
      <c r="D1" t="s">
        <v>2380</v>
      </c>
      <c r="E1" t="s">
        <v>372</v>
      </c>
      <c r="F1" t="s">
        <v>183</v>
      </c>
      <c r="G1" t="s">
        <v>213</v>
      </c>
      <c r="H1" t="s">
        <v>2384</v>
      </c>
    </row>
    <row r="2" spans="1:8">
      <c r="A2" t="str">
        <f>IF(ABS(F2)&gt;0,基础信息!$B$1,"")</f>
        <v/>
      </c>
      <c r="B2" s="255"/>
      <c r="C2" s="276"/>
      <c r="D2" s="255"/>
      <c r="E2" s="255"/>
      <c r="F2" s="255"/>
      <c r="G2" s="255"/>
      <c r="H2" s="255"/>
    </row>
    <row r="3" spans="1:8">
      <c r="A3" t="str">
        <f>IF(ABS(F3)&gt;0,基础信息!$B$1,"")</f>
        <v/>
      </c>
      <c r="B3" s="255"/>
      <c r="C3" s="276"/>
      <c r="D3" s="255"/>
      <c r="E3" s="255"/>
      <c r="F3" s="255"/>
      <c r="G3" s="255"/>
      <c r="H3" s="255"/>
    </row>
    <row r="4" spans="1:8">
      <c r="A4" t="str">
        <f>IF(ABS(F4)&gt;0,基础信息!$B$1,"")</f>
        <v/>
      </c>
      <c r="B4" s="255"/>
      <c r="C4" s="276"/>
      <c r="D4" s="255"/>
      <c r="E4" s="255"/>
      <c r="F4" s="255"/>
      <c r="G4" s="255"/>
      <c r="H4" s="255"/>
    </row>
    <row r="5" spans="1:8">
      <c r="A5" t="str">
        <f>IF(ABS(F5)&gt;0,基础信息!$B$1,"")</f>
        <v/>
      </c>
      <c r="B5" s="255"/>
      <c r="C5" s="276"/>
      <c r="D5" s="255"/>
      <c r="E5" s="255"/>
      <c r="F5" s="255"/>
      <c r="G5" s="255"/>
      <c r="H5" s="255"/>
    </row>
    <row r="6" spans="1:8">
      <c r="A6" t="str">
        <f>IF(ABS(F6)&gt;0,基础信息!$B$1,"")</f>
        <v/>
      </c>
      <c r="B6" s="255"/>
      <c r="C6" s="276"/>
      <c r="D6" s="255"/>
      <c r="E6" s="255"/>
      <c r="F6" s="255"/>
      <c r="G6" s="255"/>
      <c r="H6" s="255"/>
    </row>
    <row r="7" spans="1:8">
      <c r="A7" t="str">
        <f>IF(ABS(F7)&gt;0,基础信息!$B$1,"")</f>
        <v/>
      </c>
      <c r="B7" s="255"/>
      <c r="C7" s="276"/>
      <c r="D7" s="255"/>
      <c r="E7" s="255"/>
      <c r="F7" s="255"/>
      <c r="G7" s="255"/>
      <c r="H7" s="255"/>
    </row>
    <row r="8" spans="1:8">
      <c r="A8" t="str">
        <f>IF(ABS(F8)&gt;0,基础信息!$B$1,"")</f>
        <v/>
      </c>
      <c r="B8" s="255"/>
      <c r="C8" s="276"/>
      <c r="D8" s="255"/>
      <c r="E8" s="255"/>
      <c r="F8" s="255"/>
      <c r="G8" s="255"/>
      <c r="H8" s="255"/>
    </row>
    <row r="9" spans="1:8">
      <c r="A9" t="str">
        <f>IF(ABS(F9)&gt;0,基础信息!$B$1,"")</f>
        <v/>
      </c>
      <c r="B9" s="255"/>
      <c r="C9" s="276"/>
      <c r="D9" s="255"/>
      <c r="E9" s="255"/>
      <c r="F9" s="255"/>
      <c r="G9" s="255"/>
      <c r="H9" s="255"/>
    </row>
    <row r="10" spans="1:8">
      <c r="A10" t="str">
        <f>IF(ABS(F10)&gt;0,基础信息!$B$1,"")</f>
        <v/>
      </c>
      <c r="B10" s="255"/>
      <c r="C10" s="276"/>
      <c r="D10" s="255"/>
      <c r="E10" s="255"/>
      <c r="F10" s="255"/>
      <c r="G10" s="255"/>
      <c r="H10" s="255"/>
    </row>
    <row r="11" spans="1:8">
      <c r="A11" t="str">
        <f>IF(ABS(F11)&gt;0,基础信息!$B$1,"")</f>
        <v/>
      </c>
      <c r="B11" s="255"/>
      <c r="C11" s="276"/>
      <c r="D11" s="255"/>
      <c r="E11" s="255"/>
      <c r="F11" s="255"/>
      <c r="G11" s="255"/>
      <c r="H11" s="255"/>
    </row>
    <row r="12" spans="1:8">
      <c r="A12" t="str">
        <f>IF(ABS(F12)&gt;0,基础信息!$B$1,"")</f>
        <v/>
      </c>
      <c r="B12" s="255"/>
      <c r="C12" s="276"/>
      <c r="D12" s="255"/>
      <c r="E12" s="255"/>
      <c r="F12" s="255"/>
      <c r="G12" s="255"/>
      <c r="H12" s="255"/>
    </row>
    <row r="13" spans="1:8">
      <c r="A13" t="str">
        <f>IF(ABS(F13)&gt;0,基础信息!$B$1,"")</f>
        <v/>
      </c>
      <c r="B13" s="255"/>
      <c r="C13" s="276"/>
      <c r="D13" s="255"/>
      <c r="E13" s="255"/>
      <c r="F13" s="255"/>
      <c r="G13" s="255"/>
      <c r="H13" s="255"/>
    </row>
    <row r="14" spans="1:8">
      <c r="A14" t="str">
        <f>IF(ABS(F14)&gt;0,基础信息!$B$1,"")</f>
        <v/>
      </c>
      <c r="B14" s="255"/>
      <c r="C14" s="276"/>
      <c r="D14" s="255"/>
      <c r="E14" s="255"/>
      <c r="F14" s="255"/>
      <c r="G14" s="255"/>
      <c r="H14" s="255"/>
    </row>
    <row r="15" spans="1:8">
      <c r="A15" t="str">
        <f>IF(ABS(F15)&gt;0,基础信息!$B$1,"")</f>
        <v/>
      </c>
      <c r="B15" s="255"/>
      <c r="C15" s="276"/>
      <c r="D15" s="255"/>
      <c r="E15" s="255"/>
      <c r="F15" s="255"/>
      <c r="G15" s="255"/>
      <c r="H15" s="255"/>
    </row>
    <row r="16" spans="1:8">
      <c r="A16" t="str">
        <f>IF(ABS(F16)&gt;0,基础信息!$B$1,"")</f>
        <v/>
      </c>
      <c r="B16" s="255"/>
      <c r="C16" s="276"/>
      <c r="D16" s="255"/>
      <c r="E16" s="255"/>
      <c r="F16" s="255"/>
      <c r="G16" s="255"/>
      <c r="H16" s="255"/>
    </row>
    <row r="17" spans="1:8">
      <c r="A17" t="str">
        <f>IF(ABS(F17)&gt;0,基础信息!$B$1,"")</f>
        <v/>
      </c>
      <c r="B17" s="255"/>
      <c r="C17" s="276"/>
      <c r="D17" s="255"/>
      <c r="E17" s="255"/>
      <c r="F17" s="255"/>
      <c r="G17" s="255"/>
      <c r="H17" s="255"/>
    </row>
    <row r="18" spans="1:8">
      <c r="A18" t="str">
        <f>IF(ABS(F18)&gt;0,基础信息!$B$1,"")</f>
        <v/>
      </c>
      <c r="B18" s="255"/>
      <c r="C18" s="276"/>
      <c r="D18" s="255"/>
      <c r="E18" s="255"/>
      <c r="F18" s="255"/>
      <c r="G18" s="255"/>
      <c r="H18" s="255"/>
    </row>
    <row r="19" spans="1:8">
      <c r="A19" t="str">
        <f>IF(ABS(F19)&gt;0,基础信息!$B$1,"")</f>
        <v/>
      </c>
      <c r="B19" s="255"/>
      <c r="C19" s="276"/>
      <c r="D19" s="255"/>
      <c r="E19" s="255"/>
      <c r="F19" s="255"/>
      <c r="G19" s="255"/>
      <c r="H19" s="255"/>
    </row>
    <row r="20" spans="1:8">
      <c r="A20" t="str">
        <f>IF(ABS(F20)&gt;0,基础信息!$B$1,"")</f>
        <v/>
      </c>
      <c r="B20" s="255"/>
      <c r="C20" s="276"/>
      <c r="D20" s="255"/>
      <c r="E20" s="255"/>
      <c r="F20" s="255"/>
      <c r="G20" s="255"/>
      <c r="H20" s="255"/>
    </row>
    <row r="21" spans="1:8">
      <c r="A21" t="str">
        <f>IF(ABS(F21)&gt;0,基础信息!$B$1,"")</f>
        <v/>
      </c>
      <c r="B21" s="255"/>
      <c r="C21" s="276"/>
      <c r="D21" s="255"/>
      <c r="E21" s="255"/>
      <c r="F21" s="255"/>
      <c r="G21" s="255"/>
      <c r="H21"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1F8BE2-2F33-46C4-8B3C-8733372C1B1C}">
          <x14:formula1>
            <xm:f>分类表!$7:$7</xm:f>
          </x14:formula1>
          <xm:sqref>C2:C21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sheetPr codeName="Sheet68">
    <tabColor rgb="FFFFC000"/>
  </sheetPr>
  <dimension ref="A1:C4"/>
  <sheetViews>
    <sheetView workbookViewId="0">
      <selection activeCell="C4" sqref="C4"/>
    </sheetView>
  </sheetViews>
  <sheetFormatPr defaultRowHeight="13.8"/>
  <cols>
    <col min="1" max="1" width="13.88671875" style="71" bestFit="1" customWidth="1"/>
    <col min="2" max="2" width="22.109375" style="18" customWidth="1"/>
    <col min="3" max="3" width="19.5546875" style="18" customWidth="1"/>
    <col min="4" max="16384" width="8.88671875" style="18"/>
  </cols>
  <sheetData>
    <row r="1" spans="1:3" ht="14.4">
      <c r="A1" s="32" t="s">
        <v>205</v>
      </c>
      <c r="B1" s="20" t="s">
        <v>210</v>
      </c>
      <c r="C1" s="20" t="s">
        <v>211</v>
      </c>
    </row>
    <row r="2" spans="1:3" ht="15">
      <c r="A2" s="529" t="s">
        <v>206</v>
      </c>
      <c r="B2" s="297">
        <f>ROUND(SUMIF(已背书或贴现且在资产负债表日尚未到期的应收票据明细表!C:C,已背书或贴现且在资产负债表日尚未到期的应收票据!A2,已背书或贴现且在资产负债表日尚未到期的应收票据明细表!K:K),2)</f>
        <v>0</v>
      </c>
      <c r="C2" s="297">
        <f>ROUND(SUMIF(已背书或贴现且在资产负债表日尚未到期的应收票据明细表!C:C,已背书或贴现且在资产负债表日尚未到期的应收票据!A2,已背书或贴现且在资产负债表日尚未到期的应收票据明细表!L:L),2)</f>
        <v>0</v>
      </c>
    </row>
    <row r="3" spans="1:3" ht="15">
      <c r="A3" s="529" t="s">
        <v>207</v>
      </c>
      <c r="B3" s="297">
        <f>ROUND(SUMIF(已背书或贴现且在资产负债表日尚未到期的应收票据明细表!C:C,已背书或贴现且在资产负债表日尚未到期的应收票据!A3,已背书或贴现且在资产负债表日尚未到期的应收票据明细表!K:K),2)</f>
        <v>0</v>
      </c>
      <c r="C3" s="297">
        <f>ROUND(SUMIF(已背书或贴现且在资产负债表日尚未到期的应收票据明细表!C:C,已背书或贴现且在资产负债表日尚未到期的应收票据!A3,已背书或贴现且在资产负债表日尚未到期的应收票据明细表!L:L),2)</f>
        <v>0</v>
      </c>
    </row>
    <row r="4" spans="1:3" ht="14.4">
      <c r="A4" s="20" t="s">
        <v>204</v>
      </c>
      <c r="B4" s="157">
        <f>ROUND(SUM(B2:B3),2)</f>
        <v>0</v>
      </c>
      <c r="C4" s="157">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7868AA2-D48A-44FB-B4F5-28E10D3FB503}">
          <x14:formula1>
            <xm:f>分类表!$7:$7</xm:f>
          </x14:formula1>
          <xm:sqref>A2:A3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8ECB-6A0B-4B38-8309-AF0CD4F9995E}">
  <sheetPr codeName="Sheet6"/>
  <dimension ref="A1:L258"/>
  <sheetViews>
    <sheetView view="pageBreakPreview" zoomScale="85" zoomScaleNormal="100" zoomScaleSheetLayoutView="85" workbookViewId="0">
      <selection activeCell="E18" sqref="E18"/>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794</v>
      </c>
      <c r="B1" s="108" t="s">
        <v>795</v>
      </c>
      <c r="C1" s="62" t="s">
        <v>796</v>
      </c>
      <c r="D1" s="62" t="s">
        <v>797</v>
      </c>
      <c r="E1" s="62" t="s">
        <v>798</v>
      </c>
      <c r="F1" s="62" t="s">
        <v>799</v>
      </c>
      <c r="G1" s="62" t="s">
        <v>793</v>
      </c>
      <c r="H1" s="62" t="s">
        <v>800</v>
      </c>
    </row>
    <row r="2" spans="1:12">
      <c r="A2" s="109" t="s">
        <v>801</v>
      </c>
      <c r="B2" s="109"/>
      <c r="C2" s="110"/>
      <c r="D2" s="110"/>
      <c r="E2" s="110"/>
      <c r="I2" s="18" t="s">
        <v>802</v>
      </c>
      <c r="J2" s="18" t="s">
        <v>803</v>
      </c>
      <c r="K2" s="18" t="s">
        <v>804</v>
      </c>
      <c r="L2" s="18" t="s">
        <v>805</v>
      </c>
    </row>
    <row r="3" spans="1:12">
      <c r="A3" s="111" t="s">
        <v>806</v>
      </c>
      <c r="B3" s="111"/>
      <c r="C3" s="110"/>
      <c r="D3" s="110"/>
      <c r="E3" s="110">
        <f>上期TB!E3</f>
        <v>0</v>
      </c>
      <c r="F3" s="110">
        <f t="shared" ref="F3:G3" si="0">SUM(C4:C6)</f>
        <v>0</v>
      </c>
      <c r="G3" s="110">
        <f t="shared" si="0"/>
        <v>0</v>
      </c>
      <c r="H3" s="110">
        <f>SUM(H4:H6)</f>
        <v>0</v>
      </c>
    </row>
    <row r="4" spans="1:12">
      <c r="A4" s="111" t="s">
        <v>807</v>
      </c>
      <c r="B4" s="112" t="s">
        <v>808</v>
      </c>
      <c r="C4" s="110"/>
      <c r="D4" s="110"/>
      <c r="E4" s="113">
        <f>上期TB!E4</f>
        <v>0</v>
      </c>
      <c r="F4" s="1">
        <f>ROUND(SUMIF(新准则转换ETY!D:D,B4,新准则转换ETY!F:F),2)</f>
        <v>0</v>
      </c>
      <c r="G4" s="1">
        <f>ROUND(SUMIF(新准则转换ETY!D:D,B4,新准则转换ETY!G:G),2)</f>
        <v>0</v>
      </c>
      <c r="H4" s="114">
        <f>ROUND(E4+F4-G4,2)</f>
        <v>0</v>
      </c>
      <c r="I4" s="18" t="s">
        <v>809</v>
      </c>
      <c r="K4" s="18" t="s">
        <v>810</v>
      </c>
      <c r="L4" s="18" t="str">
        <f>_xlfn.IFNA(VLOOKUP(I4,科目余额表!B:M,11,0),K4)</f>
        <v>借</v>
      </c>
    </row>
    <row r="5" spans="1:12">
      <c r="A5" s="111" t="s">
        <v>811</v>
      </c>
      <c r="B5" s="112" t="s">
        <v>812</v>
      </c>
      <c r="C5" s="110"/>
      <c r="D5" s="110"/>
      <c r="E5" s="113">
        <f>上期TB!E5</f>
        <v>0</v>
      </c>
      <c r="F5" s="1">
        <f>ROUND(SUMIF(新准则转换ETY!D:D,B5,新准则转换ETY!F:F),2)</f>
        <v>0</v>
      </c>
      <c r="G5" s="1">
        <f>ROUND(SUMIF(新准则转换ETY!D:D,B5,新准则转换ETY!G:G),2)</f>
        <v>0</v>
      </c>
      <c r="H5" s="114">
        <f>ROUND(E5+F5-G5,2)</f>
        <v>0</v>
      </c>
      <c r="I5" s="18" t="s">
        <v>813</v>
      </c>
      <c r="K5" s="18" t="s">
        <v>810</v>
      </c>
      <c r="L5" s="18" t="str">
        <f>_xlfn.IFNA(VLOOKUP(I5,科目余额表!B:M,11,0),K5)</f>
        <v>借</v>
      </c>
    </row>
    <row r="6" spans="1:12">
      <c r="A6" s="111" t="s">
        <v>814</v>
      </c>
      <c r="B6" s="112" t="s">
        <v>193</v>
      </c>
      <c r="C6" s="110"/>
      <c r="D6" s="110"/>
      <c r="E6" s="113">
        <f>上期TB!E6</f>
        <v>0</v>
      </c>
      <c r="F6" s="1">
        <f>ROUND(SUMIF(新准则转换ETY!D:D,B6,新准则转换ETY!F:F),2)</f>
        <v>0</v>
      </c>
      <c r="G6" s="1">
        <f>ROUND(SUMIF(新准则转换ETY!D:D,B6,新准则转换ETY!G:G),2)</f>
        <v>0</v>
      </c>
      <c r="H6" s="114">
        <f t="shared" ref="H6:H56" si="1">ROUND(E6+F6-G6,2)</f>
        <v>0</v>
      </c>
      <c r="I6" s="18" t="s">
        <v>815</v>
      </c>
      <c r="K6" s="18" t="s">
        <v>810</v>
      </c>
      <c r="L6" s="18" t="str">
        <f>_xlfn.IFNA(VLOOKUP(I6,科目余额表!B:M,11,0),K6)</f>
        <v>借</v>
      </c>
    </row>
    <row r="7" spans="1:12">
      <c r="A7" s="111" t="s">
        <v>816</v>
      </c>
      <c r="B7" s="112" t="s">
        <v>817</v>
      </c>
      <c r="C7" s="110"/>
      <c r="D7" s="110"/>
      <c r="E7" s="113">
        <f>上期TB!E7</f>
        <v>0</v>
      </c>
      <c r="F7" s="1">
        <f>ROUND(SUMIF(新准则转换ETY!D:D,B7,新准则转换ETY!F:F),2)</f>
        <v>0</v>
      </c>
      <c r="G7" s="1">
        <f>ROUND(SUMIF(新准则转换ETY!D:D,B7,新准则转换ETY!G:G),2)</f>
        <v>0</v>
      </c>
      <c r="H7" s="114">
        <f t="shared" si="1"/>
        <v>0</v>
      </c>
      <c r="I7" s="18" t="s">
        <v>818</v>
      </c>
      <c r="K7" s="18" t="s">
        <v>810</v>
      </c>
      <c r="L7" s="18" t="str">
        <f>_xlfn.IFNA(VLOOKUP(I7,科目余额表!B:M,11,0),K7)</f>
        <v>借</v>
      </c>
    </row>
    <row r="8" spans="1:12">
      <c r="A8" s="111" t="s">
        <v>819</v>
      </c>
      <c r="B8" s="112" t="s">
        <v>820</v>
      </c>
      <c r="C8" s="110"/>
      <c r="D8" s="110"/>
      <c r="E8" s="113">
        <f>上期TB!E8</f>
        <v>0</v>
      </c>
      <c r="F8" s="1">
        <f>ROUND(SUMIF(新准则转换ETY!D:D,B8,新准则转换ETY!F:F),2)</f>
        <v>0</v>
      </c>
      <c r="G8" s="1">
        <f>ROUND(SUMIF(新准则转换ETY!D:D,B8,新准则转换ETY!G:G),2)</f>
        <v>0</v>
      </c>
      <c r="H8" s="114">
        <f t="shared" si="1"/>
        <v>0</v>
      </c>
      <c r="I8" s="18" t="s">
        <v>821</v>
      </c>
      <c r="K8" s="18" t="s">
        <v>810</v>
      </c>
      <c r="L8" s="18" t="str">
        <f>_xlfn.IFNA(VLOOKUP(I8,科目余额表!B:M,11,0),K8)</f>
        <v>借</v>
      </c>
    </row>
    <row r="9" spans="1:12">
      <c r="A9" s="115" t="s">
        <v>822</v>
      </c>
      <c r="B9" s="112" t="s">
        <v>5</v>
      </c>
      <c r="C9" s="110"/>
      <c r="D9" s="116" t="s">
        <v>823</v>
      </c>
      <c r="E9" s="113">
        <f>上期TB!E9</f>
        <v>0</v>
      </c>
      <c r="F9" s="1">
        <f>ROUND(SUMIF(新准则转换ETY!D:D,B9,新准则转换ETY!F:F),2)</f>
        <v>0</v>
      </c>
      <c r="G9" s="1">
        <f>ROUND(SUMIF(新准则转换ETY!D:D,B9,新准则转换ETY!G:G),2)</f>
        <v>0</v>
      </c>
      <c r="H9" s="114">
        <f t="shared" si="1"/>
        <v>0</v>
      </c>
      <c r="I9" s="18" t="s">
        <v>5</v>
      </c>
      <c r="K9" s="18" t="s">
        <v>810</v>
      </c>
      <c r="L9" s="18" t="str">
        <f>_xlfn.IFNA(VLOOKUP(I9,科目余额表!B:M,11,0),K9)</f>
        <v>借</v>
      </c>
    </row>
    <row r="10" spans="1:12">
      <c r="A10" s="115" t="s">
        <v>824</v>
      </c>
      <c r="B10" s="112" t="s">
        <v>3</v>
      </c>
      <c r="C10" s="116" t="s">
        <v>825</v>
      </c>
      <c r="D10" s="116"/>
      <c r="E10" s="113">
        <f>上期TB!E10</f>
        <v>0</v>
      </c>
      <c r="F10" s="1">
        <f>ROUND(SUMIF(新准则转换ETY!D:D,B10,新准则转换ETY!F:F),2)</f>
        <v>0</v>
      </c>
      <c r="G10" s="1">
        <f>ROUND(SUMIF(新准则转换ETY!D:D,B10,新准则转换ETY!G:G),2)</f>
        <v>0</v>
      </c>
      <c r="H10" s="114">
        <f t="shared" si="1"/>
        <v>0</v>
      </c>
      <c r="I10" s="18" t="s">
        <v>3</v>
      </c>
      <c r="K10" s="18" t="s">
        <v>810</v>
      </c>
      <c r="L10" s="18" t="str">
        <f>_xlfn.IFNA(VLOOKUP(I10,科目余额表!B:M,11,0),K10)</f>
        <v>借</v>
      </c>
    </row>
    <row r="11" spans="1:12">
      <c r="A11" s="112" t="s">
        <v>826</v>
      </c>
      <c r="B11" s="112" t="s">
        <v>420</v>
      </c>
      <c r="C11" s="110"/>
      <c r="D11" s="110"/>
      <c r="E11" s="113">
        <f>上期TB!E11</f>
        <v>0</v>
      </c>
      <c r="F11" s="1">
        <f>ROUND(SUMIF(新准则转换ETY!D:D,B11,新准则转换ETY!F:F),2)</f>
        <v>0</v>
      </c>
      <c r="G11" s="1">
        <f>ROUND(SUMIF(新准则转换ETY!D:D,B11,新准则转换ETY!G:G),2)</f>
        <v>0</v>
      </c>
      <c r="H11" s="114">
        <f t="shared" si="1"/>
        <v>0</v>
      </c>
      <c r="I11" s="18" t="s">
        <v>420</v>
      </c>
      <c r="K11" s="18" t="s">
        <v>810</v>
      </c>
      <c r="L11" s="18" t="str">
        <f>_xlfn.IFNA(VLOOKUP(I11,科目余额表!B:M,11,0),K11)</f>
        <v>借</v>
      </c>
    </row>
    <row r="12" spans="1:12">
      <c r="A12" s="112" t="s">
        <v>827</v>
      </c>
      <c r="B12" s="112" t="s">
        <v>828</v>
      </c>
      <c r="C12" s="110"/>
      <c r="D12" s="110"/>
      <c r="E12" s="113">
        <f>上期TB!E12</f>
        <v>0</v>
      </c>
      <c r="F12" s="1">
        <f>ROUND(SUMIF(新准则转换ETY!D:D,B12,新准则转换ETY!F:F),2)</f>
        <v>0</v>
      </c>
      <c r="G12" s="1">
        <f>ROUND(SUMIF(新准则转换ETY!D:D,B12,新准则转换ETY!G:G),2)</f>
        <v>0</v>
      </c>
      <c r="H12" s="114">
        <f t="shared" si="1"/>
        <v>0</v>
      </c>
      <c r="I12" s="18" t="s">
        <v>6</v>
      </c>
      <c r="K12" s="18" t="s">
        <v>810</v>
      </c>
      <c r="L12" s="18" t="str">
        <f>_xlfn.IFNA(VLOOKUP(I12,科目余额表!B:M,11,0),K12)</f>
        <v>借</v>
      </c>
    </row>
    <row r="13" spans="1:12">
      <c r="A13" s="112" t="s">
        <v>829</v>
      </c>
      <c r="B13" s="112" t="s">
        <v>830</v>
      </c>
      <c r="C13" s="110"/>
      <c r="D13" s="110"/>
      <c r="E13" s="113">
        <f>上期TB!E13</f>
        <v>0</v>
      </c>
      <c r="F13" s="1">
        <f>ROUND(SUMIF(新准则转换ETY!D:D,B13,新准则转换ETY!F:F),2)</f>
        <v>0</v>
      </c>
      <c r="G13" s="1">
        <f>ROUND(SUMIF(新准则转换ETY!D:D,B13,新准则转换ETY!G:G),2)</f>
        <v>0</v>
      </c>
      <c r="H13" s="114">
        <f>ROUND(E13-F13+G13,2)</f>
        <v>0</v>
      </c>
      <c r="I13" s="18" t="s">
        <v>831</v>
      </c>
      <c r="K13" s="18" t="s">
        <v>832</v>
      </c>
      <c r="L13" s="18" t="str">
        <f>_xlfn.IFNA(VLOOKUP(I13,科目余额表!B:M,11,0),K13)</f>
        <v>贷</v>
      </c>
    </row>
    <row r="14" spans="1:12">
      <c r="A14" s="111" t="s">
        <v>833</v>
      </c>
      <c r="B14" s="112"/>
      <c r="C14" s="110"/>
      <c r="D14" s="110"/>
      <c r="E14" s="110">
        <f>上期TB!E14</f>
        <v>0</v>
      </c>
      <c r="F14" s="110">
        <f t="shared" ref="F14:H14" si="2">F12-F13</f>
        <v>0</v>
      </c>
      <c r="G14" s="110">
        <f t="shared" si="2"/>
        <v>0</v>
      </c>
      <c r="H14" s="110">
        <f t="shared" si="2"/>
        <v>0</v>
      </c>
      <c r="L14" s="18">
        <f>_xlfn.IFNA(VLOOKUP(I14,科目余额表!B:M,11,0),K14)</f>
        <v>0</v>
      </c>
    </row>
    <row r="15" spans="1:12">
      <c r="A15" s="111" t="s">
        <v>834</v>
      </c>
      <c r="B15" s="112" t="s">
        <v>835</v>
      </c>
      <c r="C15" s="110"/>
      <c r="D15" s="110"/>
      <c r="E15" s="113">
        <f>上期TB!E15</f>
        <v>0</v>
      </c>
      <c r="F15" s="1">
        <f>ROUND(SUMIF(新准则转换ETY!D:D,B15,新准则转换ETY!F:F),2)</f>
        <v>0</v>
      </c>
      <c r="G15" s="1">
        <f>ROUND(SUMIF(新准则转换ETY!D:D,B15,新准则转换ETY!G:G),2)</f>
        <v>0</v>
      </c>
      <c r="H15" s="114">
        <f t="shared" si="1"/>
        <v>0</v>
      </c>
      <c r="I15" s="18" t="s">
        <v>9</v>
      </c>
      <c r="K15" s="18" t="s">
        <v>810</v>
      </c>
      <c r="L15" s="18" t="str">
        <f>_xlfn.IFNA(VLOOKUP(I15,科目余额表!B:M,11,0),K15)</f>
        <v>借</v>
      </c>
    </row>
    <row r="16" spans="1:12">
      <c r="A16" s="111" t="s">
        <v>836</v>
      </c>
      <c r="B16" s="112" t="s">
        <v>837</v>
      </c>
      <c r="C16" s="110"/>
      <c r="D16" s="110"/>
      <c r="E16" s="113">
        <f>上期TB!E16</f>
        <v>0</v>
      </c>
      <c r="F16" s="1">
        <f>ROUND(SUMIF(新准则转换ETY!D:D,B16,新准则转换ETY!F:F),2)</f>
        <v>0</v>
      </c>
      <c r="G16" s="1">
        <f>ROUND(SUMIF(新准则转换ETY!D:D,B16,新准则转换ETY!G:G),2)</f>
        <v>0</v>
      </c>
      <c r="H16" s="114">
        <f>ROUND(E16-F16+G16,2)</f>
        <v>0</v>
      </c>
      <c r="I16" s="18" t="s">
        <v>838</v>
      </c>
      <c r="K16" s="18" t="s">
        <v>832</v>
      </c>
      <c r="L16" s="18" t="str">
        <f>_xlfn.IFNA(VLOOKUP(I16,科目余额表!B:M,11,0),K16)</f>
        <v>贷</v>
      </c>
    </row>
    <row r="17" spans="1:12">
      <c r="A17" s="112" t="s">
        <v>839</v>
      </c>
      <c r="B17" s="112"/>
      <c r="C17" s="110"/>
      <c r="D17" s="110"/>
      <c r="E17" s="110">
        <f>上期TB!E17</f>
        <v>0</v>
      </c>
      <c r="F17" s="110">
        <f t="shared" ref="F17:H17" si="3">F15-F16</f>
        <v>0</v>
      </c>
      <c r="G17" s="110"/>
      <c r="H17" s="110">
        <f t="shared" si="3"/>
        <v>0</v>
      </c>
      <c r="L17" s="18">
        <f>_xlfn.IFNA(VLOOKUP(I17,科目余额表!B:M,11,0),K17)</f>
        <v>0</v>
      </c>
    </row>
    <row r="18" spans="1:12">
      <c r="A18" s="112" t="s">
        <v>840</v>
      </c>
      <c r="B18" s="112" t="s">
        <v>7</v>
      </c>
      <c r="C18" s="110"/>
      <c r="D18" s="116" t="s">
        <v>823</v>
      </c>
      <c r="E18" s="113">
        <f>上期TB!E18</f>
        <v>0</v>
      </c>
      <c r="F18" s="1">
        <f>ROUND(SUMIF(新准则转换ETY!D:D,B18,新准则转换ETY!F:F),2)</f>
        <v>0</v>
      </c>
      <c r="G18" s="1">
        <f>ROUND(SUMIF(新准则转换ETY!D:D,B18,新准则转换ETY!G:G),2)</f>
        <v>0</v>
      </c>
      <c r="H18" s="114">
        <f t="shared" si="1"/>
        <v>0</v>
      </c>
      <c r="I18" s="18" t="s">
        <v>7</v>
      </c>
      <c r="K18" s="18" t="s">
        <v>810</v>
      </c>
      <c r="L18" s="18" t="str">
        <f>_xlfn.IFNA(VLOOKUP(I18,科目余额表!B:M,11,0),K18)</f>
        <v>借</v>
      </c>
    </row>
    <row r="19" spans="1:12">
      <c r="A19" s="111" t="s">
        <v>841</v>
      </c>
      <c r="B19" s="112" t="s">
        <v>842</v>
      </c>
      <c r="C19" s="110"/>
      <c r="D19" s="110"/>
      <c r="E19" s="113">
        <f>上期TB!E19</f>
        <v>0</v>
      </c>
      <c r="F19" s="1">
        <f>ROUND(SUMIF(新准则转换ETY!D:D,B19,新准则转换ETY!F:F),2)</f>
        <v>0</v>
      </c>
      <c r="G19" s="1">
        <f>ROUND(SUMIF(新准则转换ETY!D:D,B19,新准则转换ETY!G:G),2)</f>
        <v>0</v>
      </c>
      <c r="H19" s="114">
        <f t="shared" si="1"/>
        <v>0</v>
      </c>
      <c r="I19" s="18" t="s">
        <v>843</v>
      </c>
      <c r="K19" s="18" t="s">
        <v>810</v>
      </c>
      <c r="L19" s="18" t="str">
        <f>_xlfn.IFNA(VLOOKUP(I19,科目余额表!B:M,11,0),K19)</f>
        <v>借</v>
      </c>
    </row>
    <row r="20" spans="1:12">
      <c r="A20" s="111" t="s">
        <v>844</v>
      </c>
      <c r="B20" s="112" t="s">
        <v>845</v>
      </c>
      <c r="C20" s="110"/>
      <c r="D20" s="110"/>
      <c r="E20" s="113">
        <f>上期TB!E20</f>
        <v>0</v>
      </c>
      <c r="F20" s="1">
        <f>ROUND(SUMIF(新准则转换ETY!D:D,B20,新准则转换ETY!F:F),2)</f>
        <v>0</v>
      </c>
      <c r="G20" s="1">
        <f>ROUND(SUMIF(新准则转换ETY!D:D,B20,新准则转换ETY!G:G),2)</f>
        <v>0</v>
      </c>
      <c r="H20" s="114">
        <f t="shared" si="1"/>
        <v>0</v>
      </c>
      <c r="I20" s="18" t="s">
        <v>845</v>
      </c>
      <c r="K20" s="18" t="s">
        <v>810</v>
      </c>
      <c r="L20" s="18" t="str">
        <f>_xlfn.IFNA(VLOOKUP(I20,科目余额表!B:M,11,0),K20)</f>
        <v>借</v>
      </c>
    </row>
    <row r="21" spans="1:12">
      <c r="A21" s="111" t="s">
        <v>846</v>
      </c>
      <c r="B21" s="112" t="s">
        <v>847</v>
      </c>
      <c r="C21" s="110"/>
      <c r="D21" s="110"/>
      <c r="E21" s="113">
        <f>上期TB!E21</f>
        <v>0</v>
      </c>
      <c r="F21" s="1">
        <f>ROUND(SUMIF(新准则转换ETY!D:D,B21,新准则转换ETY!F:F),2)</f>
        <v>0</v>
      </c>
      <c r="G21" s="1">
        <f>ROUND(SUMIF(新准则转换ETY!D:D,B21,新准则转换ETY!G:G),2)</f>
        <v>0</v>
      </c>
      <c r="H21" s="114">
        <f t="shared" si="1"/>
        <v>0</v>
      </c>
      <c r="I21" s="18" t="s">
        <v>847</v>
      </c>
      <c r="K21" s="18" t="s">
        <v>810</v>
      </c>
      <c r="L21" s="18" t="str">
        <f>_xlfn.IFNA(VLOOKUP(I21,科目余额表!B:M,11,0),K21)</f>
        <v>借</v>
      </c>
    </row>
    <row r="22" spans="1:12">
      <c r="A22" s="111" t="s">
        <v>848</v>
      </c>
      <c r="B22" s="112" t="s">
        <v>849</v>
      </c>
      <c r="C22" s="110"/>
      <c r="D22" s="110"/>
      <c r="E22" s="113">
        <f>上期TB!E22</f>
        <v>0</v>
      </c>
      <c r="F22" s="1">
        <f>ROUND(SUMIF(新准则转换ETY!D:D,B22,新准则转换ETY!F:F),2)</f>
        <v>0</v>
      </c>
      <c r="G22" s="1">
        <f>ROUND(SUMIF(新准则转换ETY!D:D,B22,新准则转换ETY!G:G),2)</f>
        <v>0</v>
      </c>
      <c r="H22" s="114">
        <f t="shared" si="1"/>
        <v>0</v>
      </c>
      <c r="I22" s="18" t="s">
        <v>849</v>
      </c>
      <c r="K22" s="18" t="s">
        <v>810</v>
      </c>
      <c r="L22" s="18" t="str">
        <f>_xlfn.IFNA(VLOOKUP(I22,科目余额表!B:M,11,0),K22)</f>
        <v>借</v>
      </c>
    </row>
    <row r="23" spans="1:12">
      <c r="A23" s="111" t="s">
        <v>850</v>
      </c>
      <c r="B23" s="112" t="s">
        <v>851</v>
      </c>
      <c r="C23" s="110"/>
      <c r="D23" s="110"/>
      <c r="E23" s="113">
        <f>上期TB!E23</f>
        <v>0</v>
      </c>
      <c r="F23" s="1">
        <f>ROUND(SUMIF(新准则转换ETY!D:D,B23,新准则转换ETY!F:F),2)</f>
        <v>0</v>
      </c>
      <c r="G23" s="1">
        <f>ROUND(SUMIF(新准则转换ETY!D:D,B23,新准则转换ETY!G:G),2)</f>
        <v>0</v>
      </c>
      <c r="H23" s="114">
        <f t="shared" si="1"/>
        <v>0</v>
      </c>
      <c r="I23" s="18" t="s">
        <v>281</v>
      </c>
      <c r="K23" s="18" t="s">
        <v>810</v>
      </c>
      <c r="L23" s="18" t="str">
        <f>_xlfn.IFNA(VLOOKUP(I23,科目余额表!B:M,11,0),K23)</f>
        <v>借</v>
      </c>
    </row>
    <row r="24" spans="1:12">
      <c r="A24" s="111" t="s">
        <v>852</v>
      </c>
      <c r="B24" s="112" t="s">
        <v>853</v>
      </c>
      <c r="C24" s="110"/>
      <c r="D24" s="110"/>
      <c r="E24" s="113">
        <f>上期TB!E24</f>
        <v>0</v>
      </c>
      <c r="F24" s="1">
        <f>ROUND(SUMIF(新准则转换ETY!D:D,B24,新准则转换ETY!F:F),2)</f>
        <v>0</v>
      </c>
      <c r="G24" s="1">
        <f>ROUND(SUMIF(新准则转换ETY!D:D,B24,新准则转换ETY!G:G),2)</f>
        <v>0</v>
      </c>
      <c r="H24" s="114">
        <f>ROUND(E24-F24+G24,2)</f>
        <v>0</v>
      </c>
      <c r="I24" s="18" t="s">
        <v>854</v>
      </c>
      <c r="K24" s="18" t="s">
        <v>832</v>
      </c>
      <c r="L24" s="18" t="str">
        <f>_xlfn.IFNA(VLOOKUP(I24,科目余额表!B:M,11,0),K24)</f>
        <v>贷</v>
      </c>
    </row>
    <row r="25" spans="1:12">
      <c r="A25" s="111" t="s">
        <v>855</v>
      </c>
      <c r="B25" s="112"/>
      <c r="C25" s="110"/>
      <c r="D25" s="110"/>
      <c r="E25" s="110">
        <f>上期TB!E25</f>
        <v>0</v>
      </c>
      <c r="F25" s="1">
        <f>ROUND(SUMIF(新准则转换ETY!D:D,B25,新准则转换ETY!F:F),2)</f>
        <v>0</v>
      </c>
      <c r="G25" s="1">
        <f>ROUND(SUMIF(新准则转换ETY!D:D,B25,新准则转换ETY!G:G),2)</f>
        <v>0</v>
      </c>
      <c r="H25" s="114">
        <f>H23-H24</f>
        <v>0</v>
      </c>
      <c r="L25" s="18">
        <f>_xlfn.IFNA(VLOOKUP(I25,科目余额表!B:M,11,0),K25)</f>
        <v>0</v>
      </c>
    </row>
    <row r="26" spans="1:12">
      <c r="A26" s="401" t="s">
        <v>2886</v>
      </c>
      <c r="B26" s="112" t="s">
        <v>2402</v>
      </c>
      <c r="C26" s="110"/>
      <c r="D26" s="110"/>
      <c r="E26" s="113">
        <f>上期TB!E26</f>
        <v>0</v>
      </c>
      <c r="F26" s="1">
        <f>ROUND(SUMIF(上期ETY!D:D,B26,上期ETY!F:F),2)</f>
        <v>0</v>
      </c>
      <c r="G26" s="1">
        <f>ROUND(SUMIF(上期ETY!D:D,B26,上期ETY!G:G),2)</f>
        <v>0</v>
      </c>
      <c r="H26" s="114">
        <f t="shared" ref="H26" si="4">ROUND(E26+F26-G26,2)</f>
        <v>0</v>
      </c>
      <c r="I26" s="18" t="s">
        <v>282</v>
      </c>
      <c r="K26" s="18" t="s">
        <v>810</v>
      </c>
      <c r="L26" s="18" t="str">
        <f>_xlfn.IFNA(VLOOKUP(I26,科目余额表!B:M,11,0),K26)</f>
        <v>借</v>
      </c>
    </row>
    <row r="27" spans="1:12">
      <c r="A27" s="401" t="s">
        <v>2887</v>
      </c>
      <c r="B27" s="112" t="s">
        <v>2888</v>
      </c>
      <c r="C27" s="110"/>
      <c r="D27" s="110"/>
      <c r="E27" s="113">
        <f>上期TB!E27</f>
        <v>0</v>
      </c>
      <c r="F27" s="1">
        <f>ROUND(SUMIF(上期ETY!D:D,B27,上期ETY!F:F),2)</f>
        <v>0</v>
      </c>
      <c r="G27" s="1">
        <f>ROUND(SUMIF(上期ETY!D:D,B27,上期ETY!G:G),2)</f>
        <v>0</v>
      </c>
      <c r="H27" s="114">
        <f>ROUND(E27-F27+G27,2)</f>
        <v>0</v>
      </c>
      <c r="I27" s="150" t="s">
        <v>2888</v>
      </c>
      <c r="K27" s="18" t="s">
        <v>832</v>
      </c>
      <c r="L27" s="18" t="str">
        <f>_xlfn.IFNA(VLOOKUP(I27,科目余额表!B:M,11,0),K27)</f>
        <v>贷</v>
      </c>
    </row>
    <row r="28" spans="1:12">
      <c r="A28" s="111" t="s">
        <v>856</v>
      </c>
      <c r="B28" s="112"/>
      <c r="C28" s="110"/>
      <c r="D28" s="110"/>
      <c r="E28" s="110">
        <f>上期TB!E28</f>
        <v>0</v>
      </c>
      <c r="F28" s="1">
        <f>ROUND(SUMIF(上期ETY!D:D,B28,上期ETY!F:F),2)</f>
        <v>0</v>
      </c>
      <c r="G28" s="1">
        <f>ROUND(SUMIF(上期ETY!D:D,B28,上期ETY!G:G),2)</f>
        <v>0</v>
      </c>
      <c r="H28" s="114">
        <f>H26-H27</f>
        <v>0</v>
      </c>
    </row>
    <row r="29" spans="1:12">
      <c r="A29" s="111" t="s">
        <v>857</v>
      </c>
      <c r="B29" s="112" t="s">
        <v>858</v>
      </c>
      <c r="C29" s="110"/>
      <c r="D29" s="110"/>
      <c r="E29" s="113">
        <f>上期TB!E29</f>
        <v>0</v>
      </c>
      <c r="F29" s="1">
        <f>ROUND(SUMIF(新准则转换ETY!D:D,B29,新准则转换ETY!F:F),2)</f>
        <v>0</v>
      </c>
      <c r="G29" s="1">
        <f>ROUND(SUMIF(新准则转换ETY!D:D,B29,新准则转换ETY!G:G),2)</f>
        <v>0</v>
      </c>
      <c r="H29" s="114">
        <f t="shared" si="1"/>
        <v>0</v>
      </c>
      <c r="I29" s="18" t="s">
        <v>10</v>
      </c>
      <c r="K29" s="18" t="s">
        <v>810</v>
      </c>
      <c r="L29" s="18" t="str">
        <f>_xlfn.IFNA(VLOOKUP(I29,科目余额表!B:M,11,0),K29)</f>
        <v>借</v>
      </c>
    </row>
    <row r="30" spans="1:12">
      <c r="A30" s="111" t="s">
        <v>859</v>
      </c>
      <c r="B30" s="112" t="s">
        <v>860</v>
      </c>
      <c r="C30" s="110"/>
      <c r="D30" s="110"/>
      <c r="E30" s="113">
        <f>上期TB!E30</f>
        <v>0</v>
      </c>
      <c r="F30" s="1">
        <f>ROUND(SUMIF(新准则转换ETY!D:D,B30,新准则转换ETY!F:F),2)</f>
        <v>0</v>
      </c>
      <c r="G30" s="1">
        <f>ROUND(SUMIF(新准则转换ETY!D:D,B30,新准则转换ETY!G:G),2)</f>
        <v>0</v>
      </c>
      <c r="H30" s="114">
        <f>ROUND(E30-F30+G30,2)</f>
        <v>0</v>
      </c>
      <c r="I30" s="18" t="s">
        <v>861</v>
      </c>
      <c r="K30" s="18" t="s">
        <v>832</v>
      </c>
      <c r="L30" s="18" t="str">
        <f>_xlfn.IFNA(VLOOKUP(I30,科目余额表!B:M,11,0),K30)</f>
        <v>贷</v>
      </c>
    </row>
    <row r="31" spans="1:12">
      <c r="A31" s="111" t="s">
        <v>862</v>
      </c>
      <c r="B31" s="112"/>
      <c r="C31" s="110"/>
      <c r="D31" s="110"/>
      <c r="E31" s="110">
        <f>上期TB!E31</f>
        <v>0</v>
      </c>
      <c r="F31" s="1">
        <f>ROUND(SUMIF(新准则转换ETY!D:D,B31,新准则转换ETY!F:F),2)</f>
        <v>0</v>
      </c>
      <c r="G31" s="1">
        <f>ROUND(SUMIF(新准则转换ETY!D:D,B31,新准则转换ETY!G:G),2)</f>
        <v>0</v>
      </c>
      <c r="H31" s="114">
        <f>H29-H30</f>
        <v>0</v>
      </c>
      <c r="L31" s="18">
        <f>_xlfn.IFNA(VLOOKUP(I31,科目余额表!B:M,11,0),K31)</f>
        <v>0</v>
      </c>
    </row>
    <row r="32" spans="1:12">
      <c r="A32" s="111" t="s">
        <v>863</v>
      </c>
      <c r="B32" s="112" t="s">
        <v>864</v>
      </c>
      <c r="C32" s="110"/>
      <c r="D32" s="110"/>
      <c r="E32" s="113">
        <f>上期TB!E32</f>
        <v>0</v>
      </c>
      <c r="F32" s="1">
        <f>ROUND(SUMIF(新准则转换ETY!D:D,B32,新准则转换ETY!F:F),2)</f>
        <v>0</v>
      </c>
      <c r="G32" s="1">
        <f>ROUND(SUMIF(新准则转换ETY!D:D,B32,新准则转换ETY!G:G),2)</f>
        <v>0</v>
      </c>
      <c r="H32" s="114">
        <f t="shared" si="1"/>
        <v>0</v>
      </c>
      <c r="I32" s="18" t="s">
        <v>864</v>
      </c>
      <c r="K32" s="18" t="s">
        <v>810</v>
      </c>
      <c r="L32" s="18" t="str">
        <f>_xlfn.IFNA(VLOOKUP(I32,科目余额表!B:M,11,0),K32)</f>
        <v>借</v>
      </c>
    </row>
    <row r="33" spans="1:12">
      <c r="A33" s="111" t="s">
        <v>865</v>
      </c>
      <c r="B33" s="112" t="s">
        <v>866</v>
      </c>
      <c r="C33" s="110"/>
      <c r="D33" s="110"/>
      <c r="E33" s="113">
        <f>上期TB!E33</f>
        <v>0</v>
      </c>
      <c r="F33" s="1">
        <f>ROUND(SUMIF(新准则转换ETY!D:D,B33,新准则转换ETY!F:F),2)</f>
        <v>0</v>
      </c>
      <c r="G33" s="1">
        <f>ROUND(SUMIF(新准则转换ETY!D:D,B33,新准则转换ETY!G:G),2)</f>
        <v>0</v>
      </c>
      <c r="H33" s="114">
        <f t="shared" si="1"/>
        <v>0</v>
      </c>
      <c r="I33" s="18" t="s">
        <v>766</v>
      </c>
      <c r="K33" s="18" t="s">
        <v>810</v>
      </c>
      <c r="L33" s="18" t="str">
        <f>_xlfn.IFNA(VLOOKUP(I33,科目余额表!B:M,11,0),K33)</f>
        <v>借</v>
      </c>
    </row>
    <row r="34" spans="1:12">
      <c r="A34" s="111" t="s">
        <v>867</v>
      </c>
      <c r="B34" s="112"/>
      <c r="C34" s="110"/>
      <c r="D34" s="110"/>
      <c r="E34" s="110">
        <f>上期TB!E34</f>
        <v>0</v>
      </c>
      <c r="F34" s="110">
        <f t="shared" ref="F34:G34" si="5">SUM(F35:F47)</f>
        <v>0</v>
      </c>
      <c r="G34" s="110">
        <f t="shared" si="5"/>
        <v>0</v>
      </c>
      <c r="H34" s="110">
        <f>SUM(H35:H48)</f>
        <v>0</v>
      </c>
      <c r="L34" s="18">
        <f>_xlfn.IFNA(VLOOKUP(I34,科目余额表!B:M,11,0),K34)</f>
        <v>0</v>
      </c>
    </row>
    <row r="35" spans="1:12">
      <c r="A35" s="111" t="s">
        <v>868</v>
      </c>
      <c r="B35" s="112" t="s">
        <v>869</v>
      </c>
      <c r="C35" s="110"/>
      <c r="D35" s="110"/>
      <c r="E35" s="113">
        <f>上期TB!E35</f>
        <v>0</v>
      </c>
      <c r="F35" s="1">
        <f>ROUND(SUMIF(新准则转换ETY!D:D,B35,新准则转换ETY!F:F),2)</f>
        <v>0</v>
      </c>
      <c r="G35" s="1">
        <f>ROUND(SUMIF(新准则转换ETY!D:D,B35,新准则转换ETY!G:G),2)</f>
        <v>0</v>
      </c>
      <c r="H35" s="114">
        <f t="shared" si="1"/>
        <v>0</v>
      </c>
      <c r="I35" s="18" t="s">
        <v>314</v>
      </c>
      <c r="K35" s="18" t="s">
        <v>810</v>
      </c>
      <c r="L35" s="18" t="str">
        <f>_xlfn.IFNA(VLOOKUP(I35,科目余额表!B:M,11,0),K35)</f>
        <v>借</v>
      </c>
    </row>
    <row r="36" spans="1:12">
      <c r="A36" s="111" t="s">
        <v>870</v>
      </c>
      <c r="B36" s="112" t="s">
        <v>871</v>
      </c>
      <c r="C36" s="110"/>
      <c r="D36" s="110"/>
      <c r="E36" s="113">
        <f>上期TB!E36</f>
        <v>0</v>
      </c>
      <c r="F36" s="1">
        <f>ROUND(SUMIF(新准则转换ETY!D:D,B36,新准则转换ETY!F:F),2)</f>
        <v>0</v>
      </c>
      <c r="G36" s="1">
        <f>ROUND(SUMIF(新准则转换ETY!D:D,B36,新准则转换ETY!G:G),2)</f>
        <v>0</v>
      </c>
      <c r="H36" s="114">
        <f t="shared" si="1"/>
        <v>0</v>
      </c>
      <c r="I36" s="18" t="s">
        <v>872</v>
      </c>
      <c r="K36" s="18" t="s">
        <v>810</v>
      </c>
      <c r="L36" s="18" t="str">
        <f>_xlfn.IFNA(VLOOKUP(I36,科目余额表!B:M,11,0),K36)</f>
        <v>借</v>
      </c>
    </row>
    <row r="37" spans="1:12">
      <c r="A37" s="111" t="s">
        <v>873</v>
      </c>
      <c r="B37" s="112" t="s">
        <v>874</v>
      </c>
      <c r="C37" s="110"/>
      <c r="D37" s="110"/>
      <c r="E37" s="113">
        <f>上期TB!E37</f>
        <v>0</v>
      </c>
      <c r="F37" s="1">
        <f>ROUND(SUMIF(新准则转换ETY!D:D,B37,新准则转换ETY!F:F),2)</f>
        <v>0</v>
      </c>
      <c r="G37" s="1">
        <f>ROUND(SUMIF(新准则转换ETY!D:D,B37,新准则转换ETY!G:G),2)</f>
        <v>0</v>
      </c>
      <c r="H37" s="114">
        <f t="shared" si="1"/>
        <v>0</v>
      </c>
      <c r="I37" s="18" t="s">
        <v>763</v>
      </c>
      <c r="K37" s="18" t="s">
        <v>810</v>
      </c>
      <c r="L37" s="18" t="str">
        <f>_xlfn.IFNA(VLOOKUP(I37,科目余额表!B:M,11,0),K37)</f>
        <v>借</v>
      </c>
    </row>
    <row r="38" spans="1:12">
      <c r="A38" s="111" t="s">
        <v>875</v>
      </c>
      <c r="B38" s="112" t="s">
        <v>876</v>
      </c>
      <c r="C38" s="110"/>
      <c r="D38" s="110"/>
      <c r="E38" s="113">
        <f>上期TB!E38</f>
        <v>0</v>
      </c>
      <c r="F38" s="1">
        <f>ROUND(SUMIF(新准则转换ETY!D:D,B38,新准则转换ETY!F:F),2)</f>
        <v>0</v>
      </c>
      <c r="G38" s="1">
        <f>ROUND(SUMIF(新准则转换ETY!D:D,B38,新准则转换ETY!G:G),2)</f>
        <v>0</v>
      </c>
      <c r="H38" s="114">
        <f t="shared" si="1"/>
        <v>0</v>
      </c>
      <c r="I38" s="18" t="s">
        <v>325</v>
      </c>
      <c r="K38" s="18" t="s">
        <v>810</v>
      </c>
      <c r="L38" s="18" t="str">
        <f>_xlfn.IFNA(VLOOKUP(I38,科目余额表!B:M,11,0),K38)</f>
        <v>借</v>
      </c>
    </row>
    <row r="39" spans="1:12">
      <c r="A39" s="111" t="s">
        <v>877</v>
      </c>
      <c r="B39" s="112" t="s">
        <v>878</v>
      </c>
      <c r="C39" s="110"/>
      <c r="D39" s="110"/>
      <c r="E39" s="113">
        <f>上期TB!E39</f>
        <v>0</v>
      </c>
      <c r="F39" s="1">
        <f>ROUND(SUMIF(新准则转换ETY!D:D,B39,新准则转换ETY!F:F),2)</f>
        <v>0</v>
      </c>
      <c r="G39" s="1">
        <f>ROUND(SUMIF(新准则转换ETY!D:D,B39,新准则转换ETY!G:G),2)</f>
        <v>0</v>
      </c>
      <c r="H39" s="114">
        <f t="shared" si="1"/>
        <v>0</v>
      </c>
      <c r="I39" s="18" t="s">
        <v>879</v>
      </c>
      <c r="K39" s="18" t="s">
        <v>810</v>
      </c>
      <c r="L39" s="18" t="str">
        <f>_xlfn.IFNA(VLOOKUP(I39,科目余额表!B:M,11,0),K39)</f>
        <v>借</v>
      </c>
    </row>
    <row r="40" spans="1:12">
      <c r="A40" s="111" t="s">
        <v>880</v>
      </c>
      <c r="B40" s="112" t="s">
        <v>881</v>
      </c>
      <c r="C40" s="110"/>
      <c r="D40" s="110"/>
      <c r="E40" s="113">
        <f>上期TB!E40</f>
        <v>0</v>
      </c>
      <c r="F40" s="1">
        <f>ROUND(SUMIF(新准则转换ETY!D:D,B40,新准则转换ETY!F:F),2)</f>
        <v>0</v>
      </c>
      <c r="G40" s="1">
        <f>ROUND(SUMIF(新准则转换ETY!D:D,B40,新准则转换ETY!G:G),2)</f>
        <v>0</v>
      </c>
      <c r="H40" s="114">
        <f t="shared" si="1"/>
        <v>0</v>
      </c>
      <c r="I40" s="18" t="s">
        <v>323</v>
      </c>
      <c r="J40" s="18" t="s">
        <v>882</v>
      </c>
      <c r="K40" s="18" t="s">
        <v>810</v>
      </c>
      <c r="L40" s="18" t="str">
        <f>_xlfn.IFNA(VLOOKUP(I40,科目余额表!B:M,11,0),K40)</f>
        <v>借</v>
      </c>
    </row>
    <row r="41" spans="1:12">
      <c r="A41" s="111" t="s">
        <v>883</v>
      </c>
      <c r="B41" s="112" t="s">
        <v>884</v>
      </c>
      <c r="C41" s="110"/>
      <c r="D41" s="110"/>
      <c r="E41" s="113">
        <f>上期TB!E41</f>
        <v>0</v>
      </c>
      <c r="F41" s="1">
        <f>ROUND(SUMIF(新准则转换ETY!D:D,B41,新准则转换ETY!F:F),2)</f>
        <v>0</v>
      </c>
      <c r="G41" s="1">
        <f>ROUND(SUMIF(新准则转换ETY!D:D,B41,新准则转换ETY!G:G),2)</f>
        <v>0</v>
      </c>
      <c r="H41" s="114">
        <f t="shared" si="1"/>
        <v>0</v>
      </c>
      <c r="I41" s="18" t="s">
        <v>326</v>
      </c>
      <c r="K41" s="18" t="s">
        <v>810</v>
      </c>
      <c r="L41" s="18" t="str">
        <f>_xlfn.IFNA(VLOOKUP(I41,科目余额表!B:M,11,0),K41)</f>
        <v>借</v>
      </c>
    </row>
    <row r="42" spans="1:12">
      <c r="A42" s="111" t="s">
        <v>885</v>
      </c>
      <c r="B42" s="112" t="s">
        <v>886</v>
      </c>
      <c r="C42" s="110"/>
      <c r="D42" s="110"/>
      <c r="E42" s="113">
        <f>上期TB!E42</f>
        <v>0</v>
      </c>
      <c r="F42" s="1">
        <f>ROUND(SUMIF(新准则转换ETY!D:D,B42,新准则转换ETY!F:F),2)</f>
        <v>0</v>
      </c>
      <c r="G42" s="1">
        <f>ROUND(SUMIF(新准则转换ETY!D:D,B42,新准则转换ETY!G:G),2)</f>
        <v>0</v>
      </c>
      <c r="H42" s="114">
        <f t="shared" si="1"/>
        <v>0</v>
      </c>
      <c r="I42" s="18" t="s">
        <v>887</v>
      </c>
      <c r="K42" s="18" t="s">
        <v>810</v>
      </c>
      <c r="L42" s="18" t="str">
        <f>_xlfn.IFNA(VLOOKUP(I42,科目余额表!B:M,11,0),K42)</f>
        <v>借</v>
      </c>
    </row>
    <row r="43" spans="1:12">
      <c r="A43" s="111" t="s">
        <v>888</v>
      </c>
      <c r="B43" s="112" t="s">
        <v>889</v>
      </c>
      <c r="C43" s="110"/>
      <c r="D43" s="110"/>
      <c r="E43" s="113">
        <f>上期TB!E43</f>
        <v>0</v>
      </c>
      <c r="F43" s="1">
        <f>ROUND(SUMIF(新准则转换ETY!D:D,B43,新准则转换ETY!F:F),2)</f>
        <v>0</v>
      </c>
      <c r="G43" s="1">
        <f>ROUND(SUMIF(新准则转换ETY!D:D,B43,新准则转换ETY!G:G),2)</f>
        <v>0</v>
      </c>
      <c r="H43" s="114">
        <f t="shared" si="1"/>
        <v>0</v>
      </c>
      <c r="I43" s="18" t="s">
        <v>328</v>
      </c>
      <c r="K43" s="18" t="s">
        <v>810</v>
      </c>
      <c r="L43" s="18" t="str">
        <f>_xlfn.IFNA(VLOOKUP(I43,科目余额表!B:M,11,0),K43)</f>
        <v>借</v>
      </c>
    </row>
    <row r="44" spans="1:12">
      <c r="A44" s="111" t="s">
        <v>890</v>
      </c>
      <c r="B44" s="112" t="s">
        <v>891</v>
      </c>
      <c r="C44" s="110"/>
      <c r="D44" s="110"/>
      <c r="E44" s="113">
        <f>上期TB!E44</f>
        <v>0</v>
      </c>
      <c r="F44" s="1">
        <f>ROUND(SUMIF(新准则转换ETY!D:D,B44,新准则转换ETY!F:F),2)</f>
        <v>0</v>
      </c>
      <c r="G44" s="1">
        <f>ROUND(SUMIF(新准则转换ETY!D:D,B44,新准则转换ETY!G:G),2)</f>
        <v>0</v>
      </c>
      <c r="H44" s="114">
        <f t="shared" si="1"/>
        <v>0</v>
      </c>
      <c r="I44" s="18" t="s">
        <v>316</v>
      </c>
      <c r="K44" s="18" t="s">
        <v>810</v>
      </c>
      <c r="L44" s="18" t="str">
        <f>_xlfn.IFNA(VLOOKUP(I44,科目余额表!B:M,11,0),K44)</f>
        <v>借</v>
      </c>
    </row>
    <row r="45" spans="1:12">
      <c r="A45" s="111" t="s">
        <v>892</v>
      </c>
      <c r="B45" s="112" t="s">
        <v>893</v>
      </c>
      <c r="C45" s="110"/>
      <c r="D45" s="110"/>
      <c r="E45" s="113">
        <f>上期TB!E45</f>
        <v>0</v>
      </c>
      <c r="F45" s="1">
        <f>ROUND(SUMIF(新准则转换ETY!D:D,B45,新准则转换ETY!F:F),2)</f>
        <v>0</v>
      </c>
      <c r="G45" s="1">
        <f>ROUND(SUMIF(新准则转换ETY!D:D,B45,新准则转换ETY!G:G),2)</f>
        <v>0</v>
      </c>
      <c r="H45" s="114">
        <f t="shared" si="1"/>
        <v>0</v>
      </c>
      <c r="I45" s="18" t="s">
        <v>330</v>
      </c>
      <c r="K45" s="18" t="s">
        <v>810</v>
      </c>
      <c r="L45" s="18" t="str">
        <f>_xlfn.IFNA(VLOOKUP(I45,科目余额表!B:M,11,0),K45)</f>
        <v>借</v>
      </c>
    </row>
    <row r="46" spans="1:12">
      <c r="A46" s="111" t="s">
        <v>894</v>
      </c>
      <c r="B46" s="112" t="s">
        <v>895</v>
      </c>
      <c r="C46" s="110"/>
      <c r="D46" s="110"/>
      <c r="E46" s="113">
        <f>上期TB!E46</f>
        <v>0</v>
      </c>
      <c r="F46" s="1">
        <f>ROUND(SUMIF(新准则转换ETY!D:D,B46,新准则转换ETY!F:F),2)</f>
        <v>0</v>
      </c>
      <c r="G46" s="1">
        <f>ROUND(SUMIF(新准则转换ETY!D:D,B46,新准则转换ETY!G:G),2)</f>
        <v>0</v>
      </c>
      <c r="H46" s="114">
        <f t="shared" si="1"/>
        <v>0</v>
      </c>
      <c r="I46" s="18" t="s">
        <v>332</v>
      </c>
      <c r="K46" s="18" t="s">
        <v>810</v>
      </c>
      <c r="L46" s="18" t="str">
        <f>_xlfn.IFNA(VLOOKUP(I46,科目余额表!B:M,11,0),K46)</f>
        <v>借</v>
      </c>
    </row>
    <row r="47" spans="1:12">
      <c r="A47" s="111" t="s">
        <v>896</v>
      </c>
      <c r="B47" s="112" t="s">
        <v>897</v>
      </c>
      <c r="C47" s="110"/>
      <c r="D47" s="110"/>
      <c r="E47" s="113">
        <f>上期TB!E47</f>
        <v>0</v>
      </c>
      <c r="F47" s="1">
        <f>ROUND(SUMIF(新准则转换ETY!D:D,B47,新准则转换ETY!F:F),2)</f>
        <v>0</v>
      </c>
      <c r="G47" s="1">
        <f>ROUND(SUMIF(新准则转换ETY!D:D,B47,新准则转换ETY!G:G),2)</f>
        <v>0</v>
      </c>
      <c r="H47" s="114">
        <f t="shared" si="1"/>
        <v>0</v>
      </c>
      <c r="I47" s="18" t="s">
        <v>898</v>
      </c>
      <c r="K47" s="18" t="s">
        <v>810</v>
      </c>
      <c r="L47" s="18" t="str">
        <f>_xlfn.IFNA(VLOOKUP(I47,科目余额表!B:M,11,0),K47)</f>
        <v>借</v>
      </c>
    </row>
    <row r="48" spans="1:12">
      <c r="A48" s="111" t="s">
        <v>899</v>
      </c>
      <c r="B48" s="112" t="s">
        <v>900</v>
      </c>
      <c r="C48" s="110"/>
      <c r="D48" s="110"/>
      <c r="E48" s="113">
        <f>上期TB!E48</f>
        <v>0</v>
      </c>
      <c r="F48" s="1">
        <f>ROUND(SUMIF(新准则转换ETY!D:D,B48,新准则转换ETY!F:F),2)</f>
        <v>0</v>
      </c>
      <c r="G48" s="1">
        <f>ROUND(SUMIF(新准则转换ETY!D:D,B48,新准则转换ETY!G:G),2)</f>
        <v>0</v>
      </c>
      <c r="H48" s="114">
        <f t="shared" si="1"/>
        <v>0</v>
      </c>
      <c r="I48" s="18" t="s">
        <v>901</v>
      </c>
      <c r="K48" s="18" t="s">
        <v>810</v>
      </c>
      <c r="L48" s="18" t="str">
        <f>_xlfn.IFNA(VLOOKUP(I48,科目余额表!B:M,11,0),K48)</f>
        <v>借</v>
      </c>
    </row>
    <row r="49" spans="1:12">
      <c r="A49" s="111" t="s">
        <v>902</v>
      </c>
      <c r="B49" s="112" t="s">
        <v>903</v>
      </c>
      <c r="C49" s="110"/>
      <c r="D49" s="110"/>
      <c r="E49" s="113">
        <f>上期TB!E49</f>
        <v>0</v>
      </c>
      <c r="F49" s="1">
        <f>ROUND(SUMIF(新准则转换ETY!D:D,B49,新准则转换ETY!F:F),2)</f>
        <v>0</v>
      </c>
      <c r="G49" s="1">
        <f>ROUND(SUMIF(新准则转换ETY!D:D,B49,新准则转换ETY!G:G),2)</f>
        <v>0</v>
      </c>
      <c r="H49" s="114">
        <f>ROUND(E49-F49+G49,2)</f>
        <v>0</v>
      </c>
      <c r="I49" s="18" t="s">
        <v>904</v>
      </c>
      <c r="K49" s="18" t="s">
        <v>832</v>
      </c>
      <c r="L49" s="18" t="str">
        <f>_xlfn.IFNA(VLOOKUP(I49,科目余额表!B:M,11,0),K49)</f>
        <v>贷</v>
      </c>
    </row>
    <row r="50" spans="1:12">
      <c r="A50" s="111" t="s">
        <v>905</v>
      </c>
      <c r="B50" s="112" t="s">
        <v>78</v>
      </c>
      <c r="C50" s="110"/>
      <c r="D50" s="110"/>
      <c r="E50" s="110">
        <f>上期TB!E50</f>
        <v>0</v>
      </c>
      <c r="F50" s="110">
        <f t="shared" ref="F50:G50" si="6">F34-F49</f>
        <v>0</v>
      </c>
      <c r="G50" s="110">
        <f t="shared" si="6"/>
        <v>0</v>
      </c>
      <c r="H50" s="110">
        <f>H34-H49</f>
        <v>0</v>
      </c>
      <c r="L50" s="18">
        <f>_xlfn.IFNA(VLOOKUP(I50,科目余额表!B:M,11,0),K50)</f>
        <v>0</v>
      </c>
    </row>
    <row r="51" spans="1:12">
      <c r="A51" s="111" t="s">
        <v>906</v>
      </c>
      <c r="B51" s="112" t="s">
        <v>907</v>
      </c>
      <c r="C51" s="110"/>
      <c r="D51" s="110"/>
      <c r="E51" s="113">
        <f>上期TB!E51</f>
        <v>0</v>
      </c>
      <c r="F51" s="1">
        <f>ROUND(SUMIF(新准则转换ETY!D:D,B51,新准则转换ETY!F:F),2)</f>
        <v>0</v>
      </c>
      <c r="G51" s="1">
        <f>ROUND(SUMIF(新准则转换ETY!D:D,B51,新准则转换ETY!G:G),2)</f>
        <v>0</v>
      </c>
      <c r="H51" s="114">
        <f t="shared" si="1"/>
        <v>0</v>
      </c>
      <c r="I51" s="18" t="s">
        <v>77</v>
      </c>
      <c r="K51" s="18" t="s">
        <v>810</v>
      </c>
      <c r="L51" s="18" t="str">
        <f>_xlfn.IFNA(VLOOKUP(I51,科目余额表!B:M,11,0),K51)</f>
        <v>借</v>
      </c>
    </row>
    <row r="52" spans="1:12">
      <c r="A52" s="111" t="s">
        <v>908</v>
      </c>
      <c r="B52" s="112" t="s">
        <v>909</v>
      </c>
      <c r="C52" s="110"/>
      <c r="D52" s="110"/>
      <c r="E52" s="113">
        <f>上期TB!E52</f>
        <v>0</v>
      </c>
      <c r="F52" s="1">
        <f>ROUND(SUMIF(新准则转换ETY!D:D,B52,新准则转换ETY!F:F),2)</f>
        <v>0</v>
      </c>
      <c r="G52" s="1">
        <f>ROUND(SUMIF(新准则转换ETY!D:D,B52,新准则转换ETY!G:G),2)</f>
        <v>0</v>
      </c>
      <c r="H52" s="114">
        <f>ROUND(E52-F52+G52,2)</f>
        <v>0</v>
      </c>
      <c r="I52" s="18" t="s">
        <v>910</v>
      </c>
      <c r="K52" s="18" t="s">
        <v>832</v>
      </c>
      <c r="L52" s="18" t="str">
        <f>_xlfn.IFNA(VLOOKUP(I52,科目余额表!B:M,11,0),K52)</f>
        <v>贷</v>
      </c>
    </row>
    <row r="53" spans="1:12">
      <c r="A53" s="111" t="s">
        <v>911</v>
      </c>
      <c r="B53" s="112"/>
      <c r="C53" s="110"/>
      <c r="D53" s="116" t="s">
        <v>823</v>
      </c>
      <c r="E53" s="110">
        <f>上期TB!E53</f>
        <v>0</v>
      </c>
      <c r="F53" s="110">
        <f t="shared" ref="F53:H53" si="7">F51-F52</f>
        <v>0</v>
      </c>
      <c r="G53" s="110">
        <f t="shared" si="7"/>
        <v>0</v>
      </c>
      <c r="H53" s="110">
        <f t="shared" si="7"/>
        <v>0</v>
      </c>
      <c r="L53" s="18">
        <f>_xlfn.IFNA(VLOOKUP(I53,科目余额表!B:M,11,0),K53)</f>
        <v>0</v>
      </c>
    </row>
    <row r="54" spans="1:12">
      <c r="A54" s="112" t="s">
        <v>912</v>
      </c>
      <c r="B54" s="112" t="s">
        <v>913</v>
      </c>
      <c r="C54" s="110"/>
      <c r="D54" s="110"/>
      <c r="E54" s="113">
        <f>上期TB!E54</f>
        <v>0</v>
      </c>
      <c r="F54" s="1">
        <f>ROUND(SUMIF(新准则转换ETY!D:D,B54,新准则转换ETY!F:F),2)</f>
        <v>0</v>
      </c>
      <c r="G54" s="1">
        <f>ROUND(SUMIF(新准则转换ETY!D:D,B54,新准则转换ETY!G:G),2)</f>
        <v>0</v>
      </c>
      <c r="H54" s="114">
        <f t="shared" si="1"/>
        <v>0</v>
      </c>
      <c r="I54" s="18" t="s">
        <v>913</v>
      </c>
      <c r="K54" s="18" t="s">
        <v>810</v>
      </c>
      <c r="L54" s="18" t="str">
        <f>_xlfn.IFNA(VLOOKUP(I54,科目余额表!B:M,11,0),K54)</f>
        <v>借</v>
      </c>
    </row>
    <row r="55" spans="1:12">
      <c r="A55" s="111" t="s">
        <v>914</v>
      </c>
      <c r="B55" s="112" t="s">
        <v>915</v>
      </c>
      <c r="C55" s="110"/>
      <c r="D55" s="110"/>
      <c r="E55" s="113">
        <f>上期TB!E55</f>
        <v>0</v>
      </c>
      <c r="F55" s="1">
        <f>ROUND(SUMIF(新准则转换ETY!D:D,B55,新准则转换ETY!F:F),2)</f>
        <v>0</v>
      </c>
      <c r="G55" s="1">
        <f>ROUND(SUMIF(新准则转换ETY!D:D,B55,新准则转换ETY!G:G),2)</f>
        <v>0</v>
      </c>
      <c r="H55" s="114">
        <f t="shared" si="1"/>
        <v>0</v>
      </c>
      <c r="I55" s="18" t="s">
        <v>915</v>
      </c>
      <c r="K55" s="18" t="s">
        <v>810</v>
      </c>
      <c r="L55" s="18" t="str">
        <f>_xlfn.IFNA(VLOOKUP(I55,科目余额表!B:M,11,0),K55)</f>
        <v>借</v>
      </c>
    </row>
    <row r="56" spans="1:12">
      <c r="A56" s="111" t="s">
        <v>916</v>
      </c>
      <c r="B56" s="112" t="s">
        <v>79</v>
      </c>
      <c r="C56" s="110"/>
      <c r="D56" s="110"/>
      <c r="E56" s="113">
        <f>上期TB!E56</f>
        <v>0</v>
      </c>
      <c r="F56" s="1">
        <f>ROUND(SUMIF(新准则转换ETY!D:D,B56,新准则转换ETY!F:F),2)</f>
        <v>0</v>
      </c>
      <c r="G56" s="1">
        <f>ROUND(SUMIF(新准则转换ETY!D:D,B56,新准则转换ETY!G:G),2)</f>
        <v>0</v>
      </c>
      <c r="H56" s="114">
        <f t="shared" si="1"/>
        <v>0</v>
      </c>
      <c r="I56" s="18" t="s">
        <v>79</v>
      </c>
      <c r="K56" s="18" t="s">
        <v>810</v>
      </c>
      <c r="L56" s="18" t="str">
        <f>_xlfn.IFNA(VLOOKUP(I56,科目余额表!B:M,11,0),K56)</f>
        <v>借</v>
      </c>
    </row>
    <row r="57" spans="1:12">
      <c r="A57" s="109" t="s">
        <v>917</v>
      </c>
      <c r="B57" s="112"/>
      <c r="C57" s="117"/>
      <c r="D57" s="117"/>
      <c r="E57" s="118">
        <f>上期TB!E57</f>
        <v>0</v>
      </c>
      <c r="F57" s="118">
        <f>F3+F7+F8+F9+F10+F11+F14+F17+F18+F19+F20+F21+F22+F31+F32+F50+F53+F54+F55+F56+F25+F28+F33</f>
        <v>0</v>
      </c>
      <c r="G57" s="118">
        <f>G3+G7+G8+G9+G10+G11+G14+G17+G18+G19+G20+G21+G22+G31+G32+G50+G53+G54+G55+G56+G25+G28+G33</f>
        <v>0</v>
      </c>
      <c r="H57" s="118">
        <f>H3+H7+H8+H9+H10+H11+H14+H17+H18+H19+H20+H21+H22+H31+H32+H50+H53+H54+H55+H56+H25+H28+H33</f>
        <v>0</v>
      </c>
      <c r="L57" s="18">
        <f>_xlfn.IFNA(VLOOKUP(I57,科目余额表!B:M,11,0),K57)</f>
        <v>0</v>
      </c>
    </row>
    <row r="58" spans="1:12">
      <c r="A58" s="109" t="s">
        <v>918</v>
      </c>
      <c r="B58" s="112"/>
      <c r="C58" s="110"/>
      <c r="D58" s="110"/>
      <c r="E58" s="110">
        <f>上期TB!E58</f>
        <v>0</v>
      </c>
      <c r="L58" s="18">
        <f>_xlfn.IFNA(VLOOKUP(I58,科目余额表!B:M,11,0),K58)</f>
        <v>0</v>
      </c>
    </row>
    <row r="59" spans="1:12">
      <c r="A59" s="111" t="s">
        <v>919</v>
      </c>
      <c r="B59" s="112" t="s">
        <v>920</v>
      </c>
      <c r="C59" s="110"/>
      <c r="D59" s="110"/>
      <c r="E59" s="113">
        <f>上期TB!E59</f>
        <v>0</v>
      </c>
      <c r="F59" s="1">
        <f>ROUND(SUMIF(新准则转换ETY!D:D,B59,新准则转换ETY!F:F),2)</f>
        <v>0</v>
      </c>
      <c r="G59" s="1">
        <f>ROUND(SUMIF(新准则转换ETY!D:D,B59,新准则转换ETY!G:G),2)</f>
        <v>0</v>
      </c>
      <c r="H59" s="114">
        <f t="shared" ref="H59:H72" si="8">ROUND(E59+F59-G59,2)</f>
        <v>0</v>
      </c>
      <c r="I59" s="18" t="s">
        <v>920</v>
      </c>
      <c r="K59" s="18" t="s">
        <v>810</v>
      </c>
      <c r="L59" s="18" t="str">
        <f>_xlfn.IFNA(VLOOKUP(I59,科目余额表!B:M,11,0),K59)</f>
        <v>借</v>
      </c>
    </row>
    <row r="60" spans="1:12">
      <c r="A60" s="111" t="s">
        <v>921</v>
      </c>
      <c r="B60" s="112" t="s">
        <v>922</v>
      </c>
      <c r="C60" s="110"/>
      <c r="D60" s="110"/>
      <c r="E60" s="113">
        <f>上期TB!E60</f>
        <v>0</v>
      </c>
      <c r="F60" s="1"/>
      <c r="G60" s="1"/>
      <c r="H60" s="114">
        <f t="shared" si="8"/>
        <v>0</v>
      </c>
      <c r="I60" s="18" t="s">
        <v>12</v>
      </c>
      <c r="K60" s="18" t="s">
        <v>810</v>
      </c>
      <c r="L60" s="18" t="str">
        <f>_xlfn.IFNA(VLOOKUP(I60,科目余额表!B:M,11,0),K60)</f>
        <v>借</v>
      </c>
    </row>
    <row r="61" spans="1:12">
      <c r="A61" s="111" t="s">
        <v>923</v>
      </c>
      <c r="B61" s="112" t="s">
        <v>924</v>
      </c>
      <c r="C61" s="110"/>
      <c r="D61" s="110"/>
      <c r="E61" s="113">
        <f>上期TB!E61</f>
        <v>0</v>
      </c>
      <c r="F61" s="1"/>
      <c r="G61" s="1"/>
      <c r="H61" s="114">
        <f>ROUND(E61-F61+G61,2)</f>
        <v>0</v>
      </c>
      <c r="I61" s="18" t="s">
        <v>924</v>
      </c>
      <c r="K61" s="18" t="s">
        <v>925</v>
      </c>
      <c r="L61" s="18" t="s">
        <v>925</v>
      </c>
    </row>
    <row r="62" spans="1:12">
      <c r="A62" s="111" t="s">
        <v>926</v>
      </c>
      <c r="B62" s="112"/>
      <c r="C62" s="110"/>
      <c r="D62" s="116" t="s">
        <v>823</v>
      </c>
      <c r="E62" s="110">
        <f>上期TB!E62</f>
        <v>0</v>
      </c>
      <c r="F62" s="1">
        <f>ROUND(SUMIF(新准则转换ETY!D:D,B62,新准则转换ETY!F:F),2)</f>
        <v>0</v>
      </c>
      <c r="G62" s="1">
        <f>ROUND(SUMIF(新准则转换ETY!D:D,B62,新准则转换ETY!G:G),2)</f>
        <v>0</v>
      </c>
      <c r="H62" s="114">
        <f>H60-H61</f>
        <v>0</v>
      </c>
    </row>
    <row r="63" spans="1:12">
      <c r="A63" s="112" t="s">
        <v>927</v>
      </c>
      <c r="B63" s="112" t="s">
        <v>14</v>
      </c>
      <c r="C63" s="116" t="s">
        <v>825</v>
      </c>
      <c r="D63" s="116"/>
      <c r="E63" s="113">
        <f>上期TB!E63</f>
        <v>0</v>
      </c>
      <c r="F63" s="1">
        <f>ROUND(SUMIF(新准则转换ETY!D:D,B63,新准则转换ETY!F:F),2)</f>
        <v>0</v>
      </c>
      <c r="G63" s="1">
        <f>ROUND(SUMIF(新准则转换ETY!D:D,B63,新准则转换ETY!G:G),2)</f>
        <v>0</v>
      </c>
      <c r="H63" s="114">
        <f t="shared" si="8"/>
        <v>0</v>
      </c>
      <c r="I63" s="18" t="s">
        <v>14</v>
      </c>
      <c r="K63" s="18" t="s">
        <v>810</v>
      </c>
      <c r="L63" s="18" t="str">
        <f>_xlfn.IFNA(VLOOKUP(I63,科目余额表!B:M,11,0),K63)</f>
        <v>借</v>
      </c>
    </row>
    <row r="64" spans="1:12" ht="13.2" customHeight="1">
      <c r="A64" s="112" t="s">
        <v>928</v>
      </c>
      <c r="B64" s="112" t="s">
        <v>929</v>
      </c>
      <c r="C64" s="116"/>
      <c r="D64" s="116"/>
      <c r="E64" s="113">
        <f>上期TB!E64</f>
        <v>0</v>
      </c>
      <c r="F64" s="1">
        <f>ROUND(SUMIF(新准则转换ETY!D:D,B64,新准则转换ETY!F:F),2)</f>
        <v>0</v>
      </c>
      <c r="G64" s="1">
        <f>ROUND(SUMIF(新准则转换ETY!D:D,B64,新准则转换ETY!G:G),2)</f>
        <v>0</v>
      </c>
      <c r="H64" s="114">
        <f t="shared" si="8"/>
        <v>0</v>
      </c>
    </row>
    <row r="65" spans="1:12">
      <c r="A65" s="112" t="s">
        <v>930</v>
      </c>
      <c r="B65" s="112" t="s">
        <v>931</v>
      </c>
      <c r="C65" s="116"/>
      <c r="D65" s="116"/>
      <c r="E65" s="113">
        <f>上期TB!E65</f>
        <v>0</v>
      </c>
      <c r="F65" s="1">
        <f>ROUND(SUMIF(新准则转换ETY!D:D,B65,新准则转换ETY!F:F),2)</f>
        <v>0</v>
      </c>
      <c r="G65" s="1">
        <f>ROUND(SUMIF(新准则转换ETY!D:D,B65,新准则转换ETY!G:G),2)</f>
        <v>0</v>
      </c>
      <c r="H65" s="114">
        <f>ROUND(E65-F65+G65,2)</f>
        <v>0</v>
      </c>
    </row>
    <row r="66" spans="1:12">
      <c r="A66" s="112" t="s">
        <v>932</v>
      </c>
      <c r="B66" s="112"/>
      <c r="C66" s="110"/>
      <c r="D66" s="116" t="s">
        <v>823</v>
      </c>
      <c r="E66" s="110">
        <f>上期TB!E66</f>
        <v>0</v>
      </c>
      <c r="F66" s="1"/>
      <c r="G66" s="1"/>
      <c r="H66" s="114">
        <f>H64-H65</f>
        <v>0</v>
      </c>
      <c r="I66" s="18" t="s">
        <v>16</v>
      </c>
      <c r="K66" s="18" t="s">
        <v>810</v>
      </c>
      <c r="L66" s="18" t="str">
        <f>_xlfn.IFNA(VLOOKUP(I66,科目余额表!B:M,11,0),K66)</f>
        <v>借</v>
      </c>
    </row>
    <row r="67" spans="1:12">
      <c r="A67" s="112" t="s">
        <v>933</v>
      </c>
      <c r="B67" s="112" t="s">
        <v>11</v>
      </c>
      <c r="C67" s="116" t="s">
        <v>825</v>
      </c>
      <c r="D67" s="116"/>
      <c r="E67" s="113">
        <f>上期TB!E67</f>
        <v>0</v>
      </c>
      <c r="F67" s="1">
        <f>ROUND(SUMIF(新准则转换ETY!D:D,B67,新准则转换ETY!F:F),2)</f>
        <v>0</v>
      </c>
      <c r="G67" s="1">
        <f>ROUND(SUMIF(新准则转换ETY!D:D,B67,新准则转换ETY!G:G),2)</f>
        <v>0</v>
      </c>
      <c r="H67" s="114">
        <f t="shared" si="8"/>
        <v>0</v>
      </c>
      <c r="I67" s="18" t="s">
        <v>11</v>
      </c>
      <c r="K67" s="18" t="s">
        <v>810</v>
      </c>
      <c r="L67" s="18" t="str">
        <f>_xlfn.IFNA(VLOOKUP(I67,科目余额表!B:M,11,0),K67)</f>
        <v>借</v>
      </c>
    </row>
    <row r="68" spans="1:12">
      <c r="A68" s="112" t="s">
        <v>934</v>
      </c>
      <c r="B68" s="112" t="s">
        <v>935</v>
      </c>
      <c r="C68" s="116"/>
      <c r="D68" s="116"/>
      <c r="E68" s="113">
        <f>上期TB!E68</f>
        <v>0</v>
      </c>
      <c r="F68" s="1">
        <f>ROUND(SUMIF(新准则转换ETY!D:D,B68,新准则转换ETY!F:F),2)</f>
        <v>0</v>
      </c>
      <c r="G68" s="1">
        <f>ROUND(SUMIF(新准则转换ETY!D:D,B68,新准则转换ETY!G:G),2)</f>
        <v>0</v>
      </c>
      <c r="H68" s="114">
        <f t="shared" si="8"/>
        <v>0</v>
      </c>
      <c r="I68" s="18" t="s">
        <v>20</v>
      </c>
      <c r="K68" s="18" t="s">
        <v>810</v>
      </c>
      <c r="L68" s="18" t="str">
        <f>_xlfn.IFNA(VLOOKUP(I68,科目余额表!B:M,11,0),K68)</f>
        <v>借</v>
      </c>
    </row>
    <row r="69" spans="1:12">
      <c r="A69" s="112" t="s">
        <v>936</v>
      </c>
      <c r="B69" s="112" t="s">
        <v>937</v>
      </c>
      <c r="C69" s="116"/>
      <c r="D69" s="116"/>
      <c r="E69" s="113">
        <f>上期TB!E69</f>
        <v>0</v>
      </c>
      <c r="F69" s="1">
        <f>ROUND(SUMIF(新准则转换ETY!D:D,B69,新准则转换ETY!F:F),2)</f>
        <v>0</v>
      </c>
      <c r="G69" s="1">
        <f>ROUND(SUMIF(新准则转换ETY!D:D,B69,新准则转换ETY!G:G),2)</f>
        <v>0</v>
      </c>
      <c r="H69" s="114">
        <f>ROUND(E69-F69+G69,2)</f>
        <v>0</v>
      </c>
      <c r="I69" s="18" t="s">
        <v>937</v>
      </c>
      <c r="K69" s="18" t="s">
        <v>925</v>
      </c>
      <c r="L69" s="18" t="s">
        <v>925</v>
      </c>
    </row>
    <row r="70" spans="1:12">
      <c r="A70" s="112" t="s">
        <v>938</v>
      </c>
      <c r="B70" s="112" t="s">
        <v>939</v>
      </c>
      <c r="C70" s="116"/>
      <c r="D70" s="116"/>
      <c r="E70" s="113">
        <f>上期TB!E70</f>
        <v>0</v>
      </c>
      <c r="F70" s="1">
        <f>ROUND(SUMIF(新准则转换ETY!D:D,B70,新准则转换ETY!F:F),2)</f>
        <v>0</v>
      </c>
      <c r="G70" s="1">
        <f>ROUND(SUMIF(新准则转换ETY!D:D,B70,新准则转换ETY!G:G),2)</f>
        <v>0</v>
      </c>
      <c r="H70" s="114">
        <f>ROUND(E70-F70+G70,2)</f>
        <v>0</v>
      </c>
      <c r="I70" s="18" t="s">
        <v>939</v>
      </c>
      <c r="K70" s="18" t="s">
        <v>925</v>
      </c>
      <c r="L70" s="18" t="s">
        <v>925</v>
      </c>
    </row>
    <row r="71" spans="1:12">
      <c r="A71" s="111" t="s">
        <v>940</v>
      </c>
      <c r="B71" s="112"/>
      <c r="C71" s="110"/>
      <c r="D71" s="110"/>
      <c r="E71" s="110">
        <f>上期TB!E71</f>
        <v>0</v>
      </c>
      <c r="F71" s="1"/>
      <c r="G71" s="1"/>
      <c r="H71" s="114">
        <f>H68-H69-H70</f>
        <v>0</v>
      </c>
    </row>
    <row r="72" spans="1:12">
      <c r="A72" s="111" t="s">
        <v>941</v>
      </c>
      <c r="B72" s="112" t="s">
        <v>942</v>
      </c>
      <c r="C72" s="110"/>
      <c r="D72" s="110"/>
      <c r="E72" s="113">
        <f>上期TB!E72</f>
        <v>0</v>
      </c>
      <c r="F72" s="1">
        <f>ROUND(SUMIF(新准则转换ETY!D:D,B72,新准则转换ETY!F:F),2)</f>
        <v>0</v>
      </c>
      <c r="G72" s="1">
        <f>ROUND(SUMIF(新准则转换ETY!D:D,B72,新准则转换ETY!G:G),2)</f>
        <v>0</v>
      </c>
      <c r="H72" s="114">
        <f t="shared" si="8"/>
        <v>0</v>
      </c>
      <c r="I72" s="18" t="s">
        <v>743</v>
      </c>
      <c r="K72" s="18" t="s">
        <v>810</v>
      </c>
      <c r="L72" s="18" t="str">
        <f>_xlfn.IFNA(VLOOKUP(I72,科目余额表!B:M,11,0),K72)</f>
        <v>借</v>
      </c>
    </row>
    <row r="73" spans="1:12">
      <c r="A73" s="111" t="s">
        <v>943</v>
      </c>
      <c r="B73" s="112" t="s">
        <v>944</v>
      </c>
      <c r="C73" s="110"/>
      <c r="D73" s="110"/>
      <c r="E73" s="113">
        <f>上期TB!E73</f>
        <v>0</v>
      </c>
      <c r="F73" s="1">
        <f>ROUND(SUMIF(新准则转换ETY!D:D,B73,新准则转换ETY!F:F),2)</f>
        <v>0</v>
      </c>
      <c r="G73" s="1">
        <f>ROUND(SUMIF(新准则转换ETY!D:D,B73,新准则转换ETY!G:G),2)</f>
        <v>0</v>
      </c>
      <c r="H73" s="114">
        <f>ROUND(E73-F73+G73,2)</f>
        <v>0</v>
      </c>
      <c r="I73" s="18" t="s">
        <v>744</v>
      </c>
      <c r="K73" s="18" t="s">
        <v>832</v>
      </c>
      <c r="L73" s="18" t="str">
        <f>_xlfn.IFNA(VLOOKUP(I73,科目余额表!B:M,11,0),K73)</f>
        <v>贷</v>
      </c>
    </row>
    <row r="74" spans="1:12">
      <c r="A74" s="111" t="s">
        <v>945</v>
      </c>
      <c r="B74" s="112"/>
      <c r="C74" s="110"/>
      <c r="D74" s="110"/>
      <c r="E74" s="110">
        <f>上期TB!E74</f>
        <v>0</v>
      </c>
      <c r="F74" s="110">
        <f t="shared" ref="F74:H74" si="9">F72-F73</f>
        <v>0</v>
      </c>
      <c r="G74" s="110">
        <f t="shared" si="9"/>
        <v>0</v>
      </c>
      <c r="H74" s="110">
        <f t="shared" si="9"/>
        <v>0</v>
      </c>
      <c r="L74" s="18">
        <f>_xlfn.IFNA(VLOOKUP(I74,科目余额表!B:M,11,0),K74)</f>
        <v>0</v>
      </c>
    </row>
    <row r="75" spans="1:12">
      <c r="A75" s="111" t="s">
        <v>946</v>
      </c>
      <c r="B75" s="112" t="s">
        <v>19</v>
      </c>
      <c r="C75" s="110"/>
      <c r="D75" s="116" t="s">
        <v>823</v>
      </c>
      <c r="E75" s="113">
        <f>上期TB!E75</f>
        <v>0</v>
      </c>
      <c r="F75" s="1">
        <f>ROUND(SUMIF(新准则转换ETY!D:D,B75,新准则转换ETY!F:F),2)</f>
        <v>0</v>
      </c>
      <c r="G75" s="1">
        <f>ROUND(SUMIF(新准则转换ETY!D:D,B75,新准则转换ETY!G:G),2)</f>
        <v>0</v>
      </c>
      <c r="H75" s="114">
        <f t="shared" ref="H75:H77" si="10">ROUND(E75+F75-G75,2)</f>
        <v>0</v>
      </c>
      <c r="I75" s="18" t="s">
        <v>19</v>
      </c>
      <c r="K75" s="18" t="s">
        <v>810</v>
      </c>
      <c r="L75" s="18" t="str">
        <f>_xlfn.IFNA(VLOOKUP(I75,科目余额表!B:M,11,0),K75)</f>
        <v>借</v>
      </c>
    </row>
    <row r="76" spans="1:12">
      <c r="A76" s="111" t="s">
        <v>947</v>
      </c>
      <c r="B76" s="112" t="s">
        <v>44</v>
      </c>
      <c r="C76" s="110"/>
      <c r="D76" s="116" t="s">
        <v>823</v>
      </c>
      <c r="E76" s="113">
        <f>上期TB!E76</f>
        <v>0</v>
      </c>
      <c r="F76" s="1">
        <f>ROUND(SUMIF(新准则转换ETY!D:D,B76,新准则转换ETY!F:F),2)</f>
        <v>0</v>
      </c>
      <c r="G76" s="1">
        <f>ROUND(SUMIF(新准则转换ETY!D:D,B76,新准则转换ETY!G:G),2)</f>
        <v>0</v>
      </c>
      <c r="H76" s="114">
        <f t="shared" si="10"/>
        <v>0</v>
      </c>
      <c r="I76" s="18" t="s">
        <v>44</v>
      </c>
      <c r="K76" s="18" t="s">
        <v>810</v>
      </c>
      <c r="L76" s="18" t="str">
        <f>_xlfn.IFNA(VLOOKUP(I76,科目余额表!B:M,11,0),K76)</f>
        <v>借</v>
      </c>
    </row>
    <row r="77" spans="1:12">
      <c r="A77" s="111" t="s">
        <v>948</v>
      </c>
      <c r="B77" s="112" t="s">
        <v>949</v>
      </c>
      <c r="C77" s="110"/>
      <c r="D77" s="116"/>
      <c r="E77" s="113">
        <f>上期TB!E77</f>
        <v>0</v>
      </c>
      <c r="F77" s="1">
        <f>ROUND(SUMIF(新准则转换ETY!D:D,B77,新准则转换ETY!F:F),2)</f>
        <v>0</v>
      </c>
      <c r="G77" s="1">
        <f>ROUND(SUMIF(新准则转换ETY!D:D,B77,新准则转换ETY!G:G),2)</f>
        <v>0</v>
      </c>
      <c r="H77" s="114">
        <f t="shared" si="10"/>
        <v>0</v>
      </c>
      <c r="I77" s="18" t="s">
        <v>745</v>
      </c>
      <c r="K77" s="18" t="s">
        <v>810</v>
      </c>
      <c r="L77" s="18" t="str">
        <f>_xlfn.IFNA(VLOOKUP(I77,科目余额表!B:M,11,0),K77)</f>
        <v>借</v>
      </c>
    </row>
    <row r="78" spans="1:12">
      <c r="A78" s="111" t="s">
        <v>950</v>
      </c>
      <c r="B78" s="112" t="s">
        <v>951</v>
      </c>
      <c r="C78" s="110"/>
      <c r="D78" s="116"/>
      <c r="E78" s="113">
        <f>上期TB!E78</f>
        <v>0</v>
      </c>
      <c r="F78" s="1">
        <f>ROUND(SUMIF(新准则转换ETY!D:D,B78,新准则转换ETY!F:F),2)</f>
        <v>0</v>
      </c>
      <c r="G78" s="1">
        <f>ROUND(SUMIF(新准则转换ETY!D:D,B78,新准则转换ETY!G:G),2)</f>
        <v>0</v>
      </c>
      <c r="H78" s="114">
        <f>ROUND(E78-F78+G78,2)</f>
        <v>0</v>
      </c>
      <c r="I78" s="18" t="s">
        <v>952</v>
      </c>
      <c r="K78" s="18" t="s">
        <v>832</v>
      </c>
      <c r="L78" s="18" t="str">
        <f>_xlfn.IFNA(VLOOKUP(I78,科目余额表!B:M,11,0),K78)</f>
        <v>贷</v>
      </c>
    </row>
    <row r="79" spans="1:12">
      <c r="A79" s="111" t="s">
        <v>953</v>
      </c>
      <c r="B79" s="112" t="s">
        <v>954</v>
      </c>
      <c r="C79" s="110"/>
      <c r="D79" s="116"/>
      <c r="E79" s="113">
        <f>上期TB!E79</f>
        <v>0</v>
      </c>
      <c r="F79" s="1">
        <f>ROUND(SUMIF(新准则转换ETY!D:D,B79,新准则转换ETY!F:F),2)</f>
        <v>0</v>
      </c>
      <c r="G79" s="1">
        <f>ROUND(SUMIF(新准则转换ETY!D:D,B79,新准则转换ETY!G:G),2)</f>
        <v>0</v>
      </c>
      <c r="H79" s="114">
        <f>ROUND(E79-F79+G79,2)</f>
        <v>0</v>
      </c>
      <c r="I79" s="18" t="s">
        <v>955</v>
      </c>
      <c r="K79" s="18" t="s">
        <v>832</v>
      </c>
      <c r="L79" s="18" t="str">
        <f>_xlfn.IFNA(VLOOKUP(I79,科目余额表!B:M,11,0),K79)</f>
        <v>贷</v>
      </c>
    </row>
    <row r="80" spans="1:12">
      <c r="A80" s="111" t="s">
        <v>956</v>
      </c>
      <c r="B80" s="112"/>
      <c r="C80" s="110"/>
      <c r="D80" s="110"/>
      <c r="E80" s="110">
        <f>上期TB!E80</f>
        <v>0</v>
      </c>
      <c r="F80" s="110">
        <f t="shared" ref="F80:G80" si="11">F77-F78-F79</f>
        <v>0</v>
      </c>
      <c r="G80" s="110">
        <f t="shared" si="11"/>
        <v>0</v>
      </c>
      <c r="H80" s="110">
        <f>H77-H78-H79</f>
        <v>0</v>
      </c>
      <c r="L80" s="18">
        <f>_xlfn.IFNA(VLOOKUP(I80,科目余额表!B:M,11,0),K80)</f>
        <v>0</v>
      </c>
    </row>
    <row r="81" spans="1:12">
      <c r="A81" s="111" t="s">
        <v>957</v>
      </c>
      <c r="B81" s="112" t="s">
        <v>958</v>
      </c>
      <c r="C81" s="110"/>
      <c r="D81" s="110"/>
      <c r="E81" s="113">
        <f>上期TB!E81</f>
        <v>0</v>
      </c>
      <c r="F81" s="1">
        <f>ROUND(SUMIF(新准则转换ETY!D:D,B81,新准则转换ETY!F:F),2)</f>
        <v>0</v>
      </c>
      <c r="G81" s="1">
        <f>ROUND(SUMIF(新准则转换ETY!D:D,B81,新准则转换ETY!G:G),2)</f>
        <v>0</v>
      </c>
      <c r="H81" s="114">
        <f t="shared" ref="H81" si="12">ROUND(E81+F81-G81,2)</f>
        <v>0</v>
      </c>
      <c r="I81" s="18" t="s">
        <v>89</v>
      </c>
      <c r="K81" s="18" t="s">
        <v>810</v>
      </c>
      <c r="L81" s="18" t="str">
        <f>_xlfn.IFNA(VLOOKUP(I81,科目余额表!B:M,11,0),K81)</f>
        <v>借</v>
      </c>
    </row>
    <row r="82" spans="1:12">
      <c r="A82" s="111" t="s">
        <v>959</v>
      </c>
      <c r="B82" s="112" t="s">
        <v>960</v>
      </c>
      <c r="C82" s="110"/>
      <c r="D82" s="110"/>
      <c r="E82" s="113">
        <f>上期TB!E82</f>
        <v>0</v>
      </c>
      <c r="F82" s="1">
        <f>ROUND(SUMIF(新准则转换ETY!D:D,B82,新准则转换ETY!F:F),2)</f>
        <v>0</v>
      </c>
      <c r="G82" s="1">
        <f>ROUND(SUMIF(新准则转换ETY!D:D,B82,新准则转换ETY!G:G),2)</f>
        <v>0</v>
      </c>
      <c r="H82" s="114">
        <f>ROUND(E82-F82+G82,2)</f>
        <v>0</v>
      </c>
      <c r="I82" s="18" t="s">
        <v>437</v>
      </c>
      <c r="K82" s="18" t="s">
        <v>832</v>
      </c>
      <c r="L82" s="18" t="str">
        <f>_xlfn.IFNA(VLOOKUP(I82,科目余额表!B:M,11,0),K82)</f>
        <v>贷</v>
      </c>
    </row>
    <row r="83" spans="1:12">
      <c r="A83" s="111" t="s">
        <v>961</v>
      </c>
      <c r="B83" s="112" t="s">
        <v>962</v>
      </c>
      <c r="C83" s="110"/>
      <c r="D83" s="110"/>
      <c r="E83" s="113">
        <f>上期TB!E83</f>
        <v>0</v>
      </c>
      <c r="F83" s="1">
        <f>ROUND(SUMIF(新准则转换ETY!D:D,B83,新准则转换ETY!F:F),2)</f>
        <v>0</v>
      </c>
      <c r="G83" s="1">
        <f>ROUND(SUMIF(新准则转换ETY!D:D,B83,新准则转换ETY!G:G),2)</f>
        <v>0</v>
      </c>
      <c r="H83" s="114">
        <f>ROUND(E83-F83+G83,2)</f>
        <v>0</v>
      </c>
      <c r="I83" s="18" t="s">
        <v>747</v>
      </c>
      <c r="K83" s="18" t="s">
        <v>832</v>
      </c>
      <c r="L83" s="18" t="str">
        <f>_xlfn.IFNA(VLOOKUP(I83,科目余额表!B:M,11,0),K83)</f>
        <v>贷</v>
      </c>
    </row>
    <row r="84" spans="1:12">
      <c r="A84" s="111" t="s">
        <v>963</v>
      </c>
      <c r="B84" s="112"/>
      <c r="C84" s="110"/>
      <c r="D84" s="110"/>
      <c r="E84" s="110">
        <f>上期TB!E84</f>
        <v>0</v>
      </c>
      <c r="F84" s="110">
        <f t="shared" ref="F84:G84" si="13">F81-F82-F83</f>
        <v>0</v>
      </c>
      <c r="G84" s="110">
        <f t="shared" si="13"/>
        <v>0</v>
      </c>
      <c r="H84" s="110">
        <f>H81-H82-H83</f>
        <v>0</v>
      </c>
      <c r="L84" s="18">
        <f>_xlfn.IFNA(VLOOKUP(I84,科目余额表!B:M,11,0),K84)</f>
        <v>0</v>
      </c>
    </row>
    <row r="85" spans="1:12">
      <c r="A85" s="111" t="s">
        <v>964</v>
      </c>
      <c r="B85" s="112" t="s">
        <v>965</v>
      </c>
      <c r="C85" s="110"/>
      <c r="D85" s="110"/>
      <c r="E85" s="113">
        <f>上期TB!E85</f>
        <v>0</v>
      </c>
      <c r="F85" s="1">
        <f>ROUND(SUMIF(新准则转换ETY!D:D,B85,新准则转换ETY!F:F),2)</f>
        <v>0</v>
      </c>
      <c r="G85" s="1">
        <f>ROUND(SUMIF(新准则转换ETY!D:D,B85,新准则转换ETY!G:G),2)</f>
        <v>0</v>
      </c>
      <c r="H85" s="114">
        <f t="shared" ref="H85:H90" si="14">ROUND(E85+F85-G85,2)</f>
        <v>0</v>
      </c>
      <c r="I85" s="18" t="s">
        <v>433</v>
      </c>
      <c r="K85" s="18" t="s">
        <v>810</v>
      </c>
      <c r="L85" s="18" t="str">
        <f>_xlfn.IFNA(VLOOKUP(I85,科目余额表!B:M,11,0),K85)</f>
        <v>借</v>
      </c>
    </row>
    <row r="86" spans="1:12">
      <c r="A86" s="111" t="s">
        <v>966</v>
      </c>
      <c r="B86" s="112" t="s">
        <v>423</v>
      </c>
      <c r="C86" s="110"/>
      <c r="D86" s="110"/>
      <c r="E86" s="113">
        <f>上期TB!E88</f>
        <v>0</v>
      </c>
      <c r="F86" s="1">
        <f>ROUND(SUMIF(新准则转换ETY!D:D,B86,新准则转换ETY!F:F),2)</f>
        <v>0</v>
      </c>
      <c r="G86" s="1">
        <f>ROUND(SUMIF(新准则转换ETY!D:D,B86,新准则转换ETY!G:G),2)</f>
        <v>0</v>
      </c>
      <c r="H86" s="114">
        <f t="shared" si="14"/>
        <v>0</v>
      </c>
      <c r="I86" s="18" t="s">
        <v>423</v>
      </c>
      <c r="K86" s="18" t="s">
        <v>810</v>
      </c>
      <c r="L86" s="18" t="str">
        <f>_xlfn.IFNA(VLOOKUP(I86,科目余额表!B:M,11,0),K86)</f>
        <v>借</v>
      </c>
    </row>
    <row r="87" spans="1:12">
      <c r="A87" s="111" t="s">
        <v>967</v>
      </c>
      <c r="B87" s="112" t="s">
        <v>968</v>
      </c>
      <c r="C87" s="110"/>
      <c r="D87" s="110"/>
      <c r="E87" s="113">
        <f>上期TB!E89</f>
        <v>0</v>
      </c>
      <c r="F87" s="1">
        <f>ROUND(SUMIF(新准则转换ETY!D:D,B87,新准则转换ETY!F:F),2)</f>
        <v>0</v>
      </c>
      <c r="G87" s="1">
        <f>ROUND(SUMIF(新准则转换ETY!D:D,B87,新准则转换ETY!G:G),2)</f>
        <v>0</v>
      </c>
      <c r="H87" s="114">
        <f t="shared" si="14"/>
        <v>0</v>
      </c>
      <c r="I87" s="18" t="s">
        <v>444</v>
      </c>
      <c r="K87" s="18" t="s">
        <v>810</v>
      </c>
      <c r="L87" s="18" t="str">
        <f>_xlfn.IFNA(VLOOKUP(I87,科目余额表!B:M,11,0),K87)</f>
        <v>借</v>
      </c>
    </row>
    <row r="88" spans="1:12">
      <c r="A88" s="111" t="s">
        <v>969</v>
      </c>
      <c r="B88" s="112" t="s">
        <v>970</v>
      </c>
      <c r="C88" s="110"/>
      <c r="D88" s="110"/>
      <c r="E88" s="113">
        <f>上期TB!E90</f>
        <v>0</v>
      </c>
      <c r="F88" s="1">
        <f>ROUND(SUMIF(新准则转换ETY!D:D,B88,新准则转换ETY!F:F),2)</f>
        <v>0</v>
      </c>
      <c r="G88" s="1">
        <f>ROUND(SUMIF(新准则转换ETY!D:D,B88,新准则转换ETY!G:G),2)</f>
        <v>0</v>
      </c>
      <c r="H88" s="114">
        <f t="shared" si="14"/>
        <v>0</v>
      </c>
      <c r="I88" s="18" t="s">
        <v>970</v>
      </c>
      <c r="K88" s="18" t="s">
        <v>810</v>
      </c>
      <c r="L88" s="18" t="str">
        <f>_xlfn.IFNA(VLOOKUP(I88,科目余额表!B:M,11,0),K88)</f>
        <v>借</v>
      </c>
    </row>
    <row r="89" spans="1:12">
      <c r="A89" s="111" t="s">
        <v>971</v>
      </c>
      <c r="B89" s="112" t="s">
        <v>972</v>
      </c>
      <c r="C89" s="110"/>
      <c r="D89" s="110"/>
      <c r="E89" s="113">
        <f>上期TB!E91</f>
        <v>0</v>
      </c>
      <c r="F89" s="1">
        <f>ROUND(SUMIF(新准则转换ETY!D:D,B89,新准则转换ETY!F:F),2)</f>
        <v>0</v>
      </c>
      <c r="G89" s="1">
        <f>ROUND(SUMIF(新准则转换ETY!D:D,B89,新准则转换ETY!G:G),2)</f>
        <v>0</v>
      </c>
      <c r="H89" s="114">
        <f t="shared" si="14"/>
        <v>0</v>
      </c>
      <c r="I89" s="18" t="s">
        <v>972</v>
      </c>
      <c r="K89" s="18" t="s">
        <v>810</v>
      </c>
      <c r="L89" s="18" t="str">
        <f>_xlfn.IFNA(VLOOKUP(I89,科目余额表!B:M,11,0),K89)</f>
        <v>借</v>
      </c>
    </row>
    <row r="90" spans="1:12">
      <c r="A90" s="111" t="s">
        <v>973</v>
      </c>
      <c r="B90" s="112" t="s">
        <v>974</v>
      </c>
      <c r="C90" s="110"/>
      <c r="D90" s="110"/>
      <c r="E90" s="113">
        <f>上期TB!E92</f>
        <v>0</v>
      </c>
      <c r="F90" s="1">
        <f>ROUND(SUMIF(新准则转换ETY!D:D,B90,新准则转换ETY!F:F),2)</f>
        <v>0</v>
      </c>
      <c r="G90" s="1">
        <f>ROUND(SUMIF(新准则转换ETY!D:D,B90,新准则转换ETY!G:G),2)</f>
        <v>0</v>
      </c>
      <c r="H90" s="114">
        <f t="shared" si="14"/>
        <v>0</v>
      </c>
      <c r="I90" s="18" t="s">
        <v>91</v>
      </c>
      <c r="K90" s="18" t="s">
        <v>810</v>
      </c>
      <c r="L90" s="18" t="str">
        <f>_xlfn.IFNA(VLOOKUP(I90,科目余额表!B:M,11,0),K90)</f>
        <v>借</v>
      </c>
    </row>
    <row r="91" spans="1:12">
      <c r="A91" s="111" t="s">
        <v>975</v>
      </c>
      <c r="B91" s="112" t="s">
        <v>976</v>
      </c>
      <c r="C91" s="110"/>
      <c r="D91" s="110"/>
      <c r="E91" s="113">
        <f>上期TB!E93</f>
        <v>0</v>
      </c>
      <c r="F91" s="1">
        <f>ROUND(SUMIF(新准则转换ETY!D:D,B91,新准则转换ETY!F:F),2)</f>
        <v>0</v>
      </c>
      <c r="G91" s="1">
        <f>ROUND(SUMIF(新准则转换ETY!D:D,B91,新准则转换ETY!G:G),2)</f>
        <v>0</v>
      </c>
      <c r="H91" s="114">
        <f>ROUND(E91-F91+G91,2)</f>
        <v>0</v>
      </c>
      <c r="I91" s="18" t="s">
        <v>977</v>
      </c>
      <c r="K91" s="18" t="s">
        <v>832</v>
      </c>
      <c r="L91" s="18" t="str">
        <f>_xlfn.IFNA(VLOOKUP(I91,科目余额表!B:M,11,0),K91)</f>
        <v>贷</v>
      </c>
    </row>
    <row r="92" spans="1:12">
      <c r="A92" s="111" t="s">
        <v>978</v>
      </c>
      <c r="B92" s="112" t="s">
        <v>979</v>
      </c>
      <c r="C92" s="110"/>
      <c r="D92" s="110"/>
      <c r="E92" s="113">
        <f>上期TB!E94</f>
        <v>0</v>
      </c>
      <c r="F92" s="1">
        <f>ROUND(SUMIF(新准则转换ETY!D:D,B92,新准则转换ETY!F:F),2)</f>
        <v>0</v>
      </c>
      <c r="G92" s="1">
        <f>ROUND(SUMIF(新准则转换ETY!D:D,B92,新准则转换ETY!G:G),2)</f>
        <v>0</v>
      </c>
      <c r="H92" s="114">
        <f>ROUND(E92-F92+G92,2)</f>
        <v>0</v>
      </c>
      <c r="I92" s="18" t="s">
        <v>980</v>
      </c>
      <c r="K92" s="18" t="s">
        <v>832</v>
      </c>
      <c r="L92" s="18" t="str">
        <f>_xlfn.IFNA(VLOOKUP(I92,科目余额表!B:M,11,0),K92)</f>
        <v>贷</v>
      </c>
    </row>
    <row r="93" spans="1:12">
      <c r="A93" s="111" t="s">
        <v>981</v>
      </c>
      <c r="B93" s="112"/>
      <c r="C93" s="110"/>
      <c r="D93" s="116" t="s">
        <v>823</v>
      </c>
      <c r="E93" s="110">
        <f>上期TB!E95</f>
        <v>0</v>
      </c>
      <c r="F93" s="110">
        <f t="shared" ref="F93:H93" si="15">F90-F91-F92</f>
        <v>0</v>
      </c>
      <c r="G93" s="110">
        <f t="shared" si="15"/>
        <v>0</v>
      </c>
      <c r="H93" s="110">
        <f t="shared" si="15"/>
        <v>0</v>
      </c>
      <c r="L93" s="18">
        <f>_xlfn.IFNA(VLOOKUP(I93,科目余额表!B:M,11,0),K93)</f>
        <v>0</v>
      </c>
    </row>
    <row r="94" spans="1:12">
      <c r="A94" s="111" t="s">
        <v>982</v>
      </c>
      <c r="B94" s="112" t="s">
        <v>983</v>
      </c>
      <c r="C94" s="110"/>
      <c r="D94" s="116"/>
      <c r="E94" s="113">
        <f>上期TB!E96</f>
        <v>0</v>
      </c>
      <c r="F94" s="1">
        <f>ROUND(SUMIF(新准则转换ETY!D:D,B94,新准则转换ETY!F:F),2)</f>
        <v>0</v>
      </c>
      <c r="G94" s="1">
        <f>ROUND(SUMIF(新准则转换ETY!D:D,B94,新准则转换ETY!G:G),2)</f>
        <v>0</v>
      </c>
      <c r="H94" s="114">
        <f t="shared" ref="H94" si="16">ROUND(E94+F94-G94,2)</f>
        <v>0</v>
      </c>
      <c r="I94" s="18" t="s">
        <v>90</v>
      </c>
      <c r="K94" s="18" t="s">
        <v>810</v>
      </c>
      <c r="L94" s="18" t="str">
        <f>_xlfn.IFNA(VLOOKUP(I94,科目余额表!B:M,11,0),K94)</f>
        <v>借</v>
      </c>
    </row>
    <row r="95" spans="1:12">
      <c r="A95" s="111" t="s">
        <v>984</v>
      </c>
      <c r="B95" s="112" t="s">
        <v>985</v>
      </c>
      <c r="C95" s="110"/>
      <c r="D95" s="116"/>
      <c r="E95" s="113">
        <f>上期TB!E97</f>
        <v>0</v>
      </c>
      <c r="F95" s="1">
        <f>ROUND(SUMIF(新准则转换ETY!D:D,B95,新准则转换ETY!F:F),2)</f>
        <v>0</v>
      </c>
      <c r="G95" s="1">
        <f>ROUND(SUMIF(新准则转换ETY!D:D,B95,新准则转换ETY!G:G),2)</f>
        <v>0</v>
      </c>
      <c r="H95" s="114">
        <f>ROUND(E95-F95+G95,2)</f>
        <v>0</v>
      </c>
      <c r="I95" s="18" t="s">
        <v>749</v>
      </c>
      <c r="K95" s="18" t="s">
        <v>832</v>
      </c>
      <c r="L95" s="18" t="str">
        <f>_xlfn.IFNA(VLOOKUP(I95,科目余额表!B:M,11,0),K95)</f>
        <v>贷</v>
      </c>
    </row>
    <row r="96" spans="1:12">
      <c r="A96" s="111" t="s">
        <v>986</v>
      </c>
      <c r="B96" s="112" t="s">
        <v>987</v>
      </c>
      <c r="C96" s="110"/>
      <c r="D96" s="116"/>
      <c r="E96" s="113">
        <f>上期TB!E98</f>
        <v>0</v>
      </c>
      <c r="F96" s="1">
        <f>ROUND(SUMIF(新准则转换ETY!D:D,B96,新准则转换ETY!F:F),2)</f>
        <v>0</v>
      </c>
      <c r="G96" s="1">
        <f>ROUND(SUMIF(新准则转换ETY!D:D,B96,新准则转换ETY!G:G),2)</f>
        <v>0</v>
      </c>
      <c r="H96" s="114">
        <f>ROUND(E96-F96+G96,2)</f>
        <v>0</v>
      </c>
      <c r="I96" s="18" t="s">
        <v>988</v>
      </c>
      <c r="K96" s="18" t="s">
        <v>832</v>
      </c>
      <c r="L96" s="18" t="str">
        <f>_xlfn.IFNA(VLOOKUP(I96,科目余额表!B:M,11,0),K96)</f>
        <v>贷</v>
      </c>
    </row>
    <row r="97" spans="1:12">
      <c r="A97" s="111" t="s">
        <v>989</v>
      </c>
      <c r="B97" s="112"/>
      <c r="C97" s="110"/>
      <c r="D97" s="110"/>
      <c r="E97" s="110">
        <f>上期TB!E99</f>
        <v>0</v>
      </c>
      <c r="F97" s="110">
        <f t="shared" ref="F97:H97" si="17">F94-F95-F96</f>
        <v>0</v>
      </c>
      <c r="G97" s="110">
        <f t="shared" si="17"/>
        <v>0</v>
      </c>
      <c r="H97" s="110">
        <f t="shared" si="17"/>
        <v>0</v>
      </c>
      <c r="L97" s="18">
        <f>_xlfn.IFNA(VLOOKUP(I97,科目余额表!B:M,11,0),K97)</f>
        <v>0</v>
      </c>
    </row>
    <row r="98" spans="1:12">
      <c r="A98" s="111" t="s">
        <v>990</v>
      </c>
      <c r="B98" s="112" t="s">
        <v>991</v>
      </c>
      <c r="C98" s="110"/>
      <c r="D98" s="110"/>
      <c r="E98" s="113">
        <f>上期TB!E100</f>
        <v>0</v>
      </c>
      <c r="F98" s="1">
        <f>ROUND(SUMIF(新准则转换ETY!D:D,B98,新准则转换ETY!F:F),2)</f>
        <v>0</v>
      </c>
      <c r="G98" s="1">
        <f>ROUND(SUMIF(新准则转换ETY!D:D,B98,新准则转换ETY!G:G),2)</f>
        <v>0</v>
      </c>
      <c r="H98" s="114">
        <f t="shared" ref="H98:H99" si="18">ROUND(E98+F98-G98,2)</f>
        <v>0</v>
      </c>
      <c r="I98" s="18" t="s">
        <v>991</v>
      </c>
      <c r="K98" s="18" t="s">
        <v>810</v>
      </c>
      <c r="L98" s="18" t="str">
        <f>_xlfn.IFNA(VLOOKUP(I98,科目余额表!B:M,11,0),K98)</f>
        <v>借</v>
      </c>
    </row>
    <row r="99" spans="1:12">
      <c r="A99" s="111" t="s">
        <v>992</v>
      </c>
      <c r="B99" s="112" t="s">
        <v>993</v>
      </c>
      <c r="C99" s="110"/>
      <c r="D99" s="110"/>
      <c r="E99" s="113">
        <f>上期TB!E101</f>
        <v>0</v>
      </c>
      <c r="F99" s="1">
        <f>ROUND(SUMIF(新准则转换ETY!D:D,B99,新准则转换ETY!F:F),2)</f>
        <v>0</v>
      </c>
      <c r="G99" s="1">
        <f>ROUND(SUMIF(新准则转换ETY!D:D,B99,新准则转换ETY!G:G),2)</f>
        <v>0</v>
      </c>
      <c r="H99" s="114">
        <f t="shared" si="18"/>
        <v>0</v>
      </c>
      <c r="I99" s="18" t="s">
        <v>994</v>
      </c>
      <c r="K99" s="18" t="s">
        <v>810</v>
      </c>
      <c r="L99" s="18" t="str">
        <f>_xlfn.IFNA(VLOOKUP(I99,科目余额表!B:M,11,0),K99)</f>
        <v>借</v>
      </c>
    </row>
    <row r="100" spans="1:12">
      <c r="A100" s="111" t="s">
        <v>995</v>
      </c>
      <c r="B100" s="112" t="s">
        <v>996</v>
      </c>
      <c r="C100" s="110"/>
      <c r="D100" s="110"/>
      <c r="E100" s="113">
        <f>上期TB!E102</f>
        <v>0</v>
      </c>
      <c r="F100" s="1">
        <f>ROUND(SUMIF(新准则转换ETY!D:D,B100,新准则转换ETY!F:F),2)</f>
        <v>0</v>
      </c>
      <c r="G100" s="1">
        <f>ROUND(SUMIF(新准则转换ETY!D:D,B100,新准则转换ETY!G:G),2)</f>
        <v>0</v>
      </c>
      <c r="H100" s="114">
        <f>ROUND(E100-F100+G100,2)</f>
        <v>0</v>
      </c>
      <c r="I100" s="18" t="s">
        <v>997</v>
      </c>
      <c r="K100" s="18" t="s">
        <v>832</v>
      </c>
      <c r="L100" s="18" t="str">
        <f>_xlfn.IFNA(VLOOKUP(I100,科目余额表!B:M,11,0),K100)</f>
        <v>贷</v>
      </c>
    </row>
    <row r="101" spans="1:12">
      <c r="A101" s="111" t="s">
        <v>998</v>
      </c>
      <c r="B101" s="112"/>
      <c r="C101" s="110"/>
      <c r="D101" s="110"/>
      <c r="E101" s="110">
        <f>上期TB!E103</f>
        <v>0</v>
      </c>
      <c r="F101" s="110">
        <f t="shared" ref="F101:H101" si="19">F99-F100</f>
        <v>0</v>
      </c>
      <c r="G101" s="110">
        <f t="shared" si="19"/>
        <v>0</v>
      </c>
      <c r="H101" s="110">
        <f t="shared" si="19"/>
        <v>0</v>
      </c>
      <c r="L101" s="18">
        <f>_xlfn.IFNA(VLOOKUP(I101,科目余额表!B:M,11,0),K101)</f>
        <v>0</v>
      </c>
    </row>
    <row r="102" spans="1:12">
      <c r="A102" s="111" t="s">
        <v>999</v>
      </c>
      <c r="B102" s="112" t="s">
        <v>750</v>
      </c>
      <c r="C102" s="110"/>
      <c r="D102" s="110"/>
      <c r="E102" s="113">
        <f>上期TB!E104</f>
        <v>0</v>
      </c>
      <c r="F102" s="1">
        <f>ROUND(SUMIF(新准则转换ETY!D:D,B102,新准则转换ETY!F:F),2)</f>
        <v>0</v>
      </c>
      <c r="G102" s="1">
        <f>ROUND(SUMIF(新准则转换ETY!D:D,B102,新准则转换ETY!G:G),2)</f>
        <v>0</v>
      </c>
      <c r="H102" s="114">
        <f t="shared" ref="H102:H104" si="20">ROUND(E102+F102-G102,2)</f>
        <v>0</v>
      </c>
      <c r="I102" s="18" t="s">
        <v>750</v>
      </c>
      <c r="K102" s="18" t="s">
        <v>810</v>
      </c>
      <c r="L102" s="18" t="str">
        <f>_xlfn.IFNA(VLOOKUP(I102,科目余额表!B:M,11,0),K102)</f>
        <v>借</v>
      </c>
    </row>
    <row r="103" spans="1:12">
      <c r="A103" s="111" t="s">
        <v>1000</v>
      </c>
      <c r="B103" s="112" t="s">
        <v>751</v>
      </c>
      <c r="C103" s="110"/>
      <c r="D103" s="110"/>
      <c r="E103" s="113">
        <f>上期TB!E105</f>
        <v>0</v>
      </c>
      <c r="F103" s="1">
        <f>ROUND(SUMIF(新准则转换ETY!D:D,B103,新准则转换ETY!F:F),2)</f>
        <v>0</v>
      </c>
      <c r="G103" s="1">
        <f>ROUND(SUMIF(新准则转换ETY!D:D,B103,新准则转换ETY!G:G),2)</f>
        <v>0</v>
      </c>
      <c r="H103" s="114">
        <f t="shared" si="20"/>
        <v>0</v>
      </c>
      <c r="I103" s="18" t="s">
        <v>751</v>
      </c>
      <c r="K103" s="18" t="s">
        <v>810</v>
      </c>
      <c r="L103" s="18" t="str">
        <f>_xlfn.IFNA(VLOOKUP(I103,科目余额表!B:M,11,0),K103)</f>
        <v>借</v>
      </c>
    </row>
    <row r="104" spans="1:12">
      <c r="A104" s="111" t="s">
        <v>1001</v>
      </c>
      <c r="B104" s="112" t="s">
        <v>80</v>
      </c>
      <c r="C104" s="110"/>
      <c r="D104" s="110"/>
      <c r="E104" s="113">
        <f>上期TB!E106</f>
        <v>0</v>
      </c>
      <c r="F104" s="1">
        <f>ROUND(SUMIF(新准则转换ETY!D:D,B104,新准则转换ETY!F:F),2)</f>
        <v>0</v>
      </c>
      <c r="G104" s="1">
        <f>ROUND(SUMIF(新准则转换ETY!D:D,B104,新准则转换ETY!G:G),2)</f>
        <v>0</v>
      </c>
      <c r="H104" s="114">
        <f t="shared" si="20"/>
        <v>0</v>
      </c>
      <c r="I104" s="18" t="s">
        <v>1002</v>
      </c>
      <c r="K104" s="18" t="s">
        <v>810</v>
      </c>
      <c r="L104" s="18" t="str">
        <f>_xlfn.IFNA(VLOOKUP(I104,科目余额表!B:M,11,0),K104)</f>
        <v>借</v>
      </c>
    </row>
    <row r="105" spans="1:12">
      <c r="A105" s="119" t="s">
        <v>1003</v>
      </c>
      <c r="B105" s="112"/>
      <c r="C105" s="118"/>
      <c r="D105" s="118"/>
      <c r="E105" s="120">
        <f>上期TB!E107</f>
        <v>0</v>
      </c>
      <c r="F105" s="110">
        <f>F59+F62+F63+F66+F67+F71+F74+F75+F76+F80+F84+F86+F88+F89+F93+F97+F98+F101+F102+F103+F104+F85+F87</f>
        <v>0</v>
      </c>
      <c r="G105" s="110">
        <f>G59+G62+G63+G66+G67+G71+G74+G75+G76+G80+G84+G86+G88+G89+G93+G97+G98+G101+G102+G103+G104+G85+G87</f>
        <v>0</v>
      </c>
      <c r="H105" s="120">
        <f>H59+H62+H63+H66+H67+H71+H74+H75+H76+H80+H84+H86+H88+H89+H93+H97+H98+H101+H102+H103+H104+H85+H87</f>
        <v>0</v>
      </c>
      <c r="L105" s="18">
        <f>_xlfn.IFNA(VLOOKUP(I105,科目余额表!B:M,11,0),K105)</f>
        <v>0</v>
      </c>
    </row>
    <row r="106" spans="1:12">
      <c r="A106" s="119" t="s">
        <v>1004</v>
      </c>
      <c r="B106" s="112"/>
      <c r="C106" s="110"/>
      <c r="D106" s="110"/>
      <c r="E106" s="120">
        <f>上期TB!E108</f>
        <v>0</v>
      </c>
      <c r="F106" s="110">
        <f>F105+F57</f>
        <v>0</v>
      </c>
      <c r="G106" s="110">
        <f>G105+G57</f>
        <v>0</v>
      </c>
      <c r="H106" s="120">
        <f>H105+H57</f>
        <v>0</v>
      </c>
      <c r="L106" s="18">
        <f>_xlfn.IFNA(VLOOKUP(I106,科目余额表!B:M,11,0),K106)</f>
        <v>0</v>
      </c>
    </row>
    <row r="107" spans="1:12">
      <c r="A107" s="121" t="s">
        <v>1005</v>
      </c>
      <c r="B107" s="112"/>
      <c r="C107" s="110"/>
      <c r="D107" s="110"/>
      <c r="E107" s="110">
        <f>上期TB!E109</f>
        <v>0</v>
      </c>
      <c r="L107" s="18">
        <f>_xlfn.IFNA(VLOOKUP(I107,科目余额表!B:M,11,0),K107)</f>
        <v>0</v>
      </c>
    </row>
    <row r="108" spans="1:12">
      <c r="A108" s="122" t="s">
        <v>1006</v>
      </c>
      <c r="B108" s="112" t="s">
        <v>735</v>
      </c>
      <c r="C108" s="110"/>
      <c r="D108" s="110"/>
      <c r="E108" s="113">
        <f>上期TB!E110</f>
        <v>0</v>
      </c>
      <c r="F108" s="1">
        <f>ROUND(SUMIF(新准则转换ETY!D:D,B108,新准则转换ETY!F:F),2)</f>
        <v>0</v>
      </c>
      <c r="G108" s="1">
        <f>ROUND(SUMIF(新准则转换ETY!D:D,B108,新准则转换ETY!G:G),2)</f>
        <v>0</v>
      </c>
      <c r="H108" s="114">
        <f>ROUND(E108-F108+G108,2)</f>
        <v>0</v>
      </c>
      <c r="I108" s="18" t="s">
        <v>735</v>
      </c>
      <c r="K108" s="18" t="s">
        <v>832</v>
      </c>
      <c r="L108" s="18" t="str">
        <f>_xlfn.IFNA(VLOOKUP(I108,科目余额表!B:M,11,0),K108)</f>
        <v>贷</v>
      </c>
    </row>
    <row r="109" spans="1:12">
      <c r="A109" s="122" t="s">
        <v>1007</v>
      </c>
      <c r="B109" s="112" t="s">
        <v>1008</v>
      </c>
      <c r="C109" s="110"/>
      <c r="D109" s="110"/>
      <c r="E109" s="113">
        <f>上期TB!E111</f>
        <v>0</v>
      </c>
      <c r="F109" s="1">
        <f>ROUND(SUMIF(新准则转换ETY!D:D,B109,新准则转换ETY!F:F),2)</f>
        <v>0</v>
      </c>
      <c r="G109" s="1">
        <f>ROUND(SUMIF(新准则转换ETY!D:D,B109,新准则转换ETY!G:G),2)</f>
        <v>0</v>
      </c>
      <c r="H109" s="114">
        <f t="shared" ref="H109:H132" si="21">ROUND(E109-F109+G109,2)</f>
        <v>0</v>
      </c>
      <c r="I109" s="18" t="s">
        <v>1008</v>
      </c>
      <c r="K109" s="18" t="s">
        <v>832</v>
      </c>
      <c r="L109" s="18" t="str">
        <f>_xlfn.IFNA(VLOOKUP(I109,科目余额表!B:M,11,0),K109)</f>
        <v>贷</v>
      </c>
    </row>
    <row r="110" spans="1:12">
      <c r="A110" s="122" t="s">
        <v>1009</v>
      </c>
      <c r="B110" s="112" t="s">
        <v>1010</v>
      </c>
      <c r="C110" s="110"/>
      <c r="D110" s="110"/>
      <c r="E110" s="113">
        <f>上期TB!E112</f>
        <v>0</v>
      </c>
      <c r="F110" s="1">
        <f>ROUND(SUMIF(新准则转换ETY!D:D,B110,新准则转换ETY!F:F),2)</f>
        <v>0</v>
      </c>
      <c r="G110" s="1">
        <f>ROUND(SUMIF(新准则转换ETY!D:D,B110,新准则转换ETY!G:G),2)</f>
        <v>0</v>
      </c>
      <c r="H110" s="114">
        <f t="shared" si="21"/>
        <v>0</v>
      </c>
      <c r="I110" s="18" t="s">
        <v>1010</v>
      </c>
      <c r="K110" s="18" t="s">
        <v>832</v>
      </c>
      <c r="L110" s="18" t="str">
        <f>_xlfn.IFNA(VLOOKUP(I110,科目余额表!B:M,11,0),K110)</f>
        <v>贷</v>
      </c>
    </row>
    <row r="111" spans="1:12">
      <c r="A111" s="123" t="s">
        <v>1011</v>
      </c>
      <c r="B111" s="112" t="s">
        <v>496</v>
      </c>
      <c r="C111" s="110"/>
      <c r="D111" s="116" t="s">
        <v>823</v>
      </c>
      <c r="E111" s="113">
        <f>上期TB!E113</f>
        <v>0</v>
      </c>
      <c r="F111" s="1">
        <f>ROUND(SUMIF(新准则转换ETY!D:D,B111,新准则转换ETY!F:F),2)</f>
        <v>0</v>
      </c>
      <c r="G111" s="1">
        <f>ROUND(SUMIF(新准则转换ETY!D:D,B111,新准则转换ETY!G:G),2)</f>
        <v>0</v>
      </c>
      <c r="H111" s="114">
        <f t="shared" si="21"/>
        <v>0</v>
      </c>
      <c r="I111" s="18" t="s">
        <v>496</v>
      </c>
      <c r="K111" s="18" t="s">
        <v>832</v>
      </c>
      <c r="L111" s="18" t="str">
        <f>_xlfn.IFNA(VLOOKUP(I111,科目余额表!B:M,11,0),K111)</f>
        <v>贷</v>
      </c>
    </row>
    <row r="112" spans="1:12">
      <c r="A112" s="123" t="s">
        <v>1012</v>
      </c>
      <c r="B112" s="112" t="s">
        <v>1013</v>
      </c>
      <c r="C112" s="116" t="s">
        <v>825</v>
      </c>
      <c r="D112" s="116"/>
      <c r="E112" s="113">
        <f>上期TB!E114</f>
        <v>0</v>
      </c>
      <c r="F112" s="1">
        <f>ROUND(SUMIF(新准则转换ETY!D:D,B112,新准则转换ETY!F:F),2)</f>
        <v>0</v>
      </c>
      <c r="G112" s="1">
        <f>ROUND(SUMIF(新准则转换ETY!D:D,B112,新准则转换ETY!G:G),2)</f>
        <v>0</v>
      </c>
      <c r="H112" s="114">
        <f t="shared" si="21"/>
        <v>0</v>
      </c>
      <c r="I112" s="18" t="s">
        <v>1013</v>
      </c>
      <c r="K112" s="18" t="s">
        <v>832</v>
      </c>
      <c r="L112" s="18" t="str">
        <f>_xlfn.IFNA(VLOOKUP(I112,科目余额表!B:M,11,0),K112)</f>
        <v>贷</v>
      </c>
    </row>
    <row r="113" spans="1:12">
      <c r="A113" s="122" t="s">
        <v>1014</v>
      </c>
      <c r="B113" s="112" t="s">
        <v>1015</v>
      </c>
      <c r="C113" s="110"/>
      <c r="D113" s="110"/>
      <c r="E113" s="113">
        <f>上期TB!E115</f>
        <v>0</v>
      </c>
      <c r="F113" s="1">
        <f>ROUND(SUMIF(新准则转换ETY!D:D,B113,新准则转换ETY!F:F),2)</f>
        <v>0</v>
      </c>
      <c r="G113" s="1">
        <f>ROUND(SUMIF(新准则转换ETY!D:D,B113,新准则转换ETY!G:G),2)</f>
        <v>0</v>
      </c>
      <c r="H113" s="114">
        <f t="shared" si="21"/>
        <v>0</v>
      </c>
      <c r="I113" s="18" t="s">
        <v>1015</v>
      </c>
      <c r="K113" s="18" t="s">
        <v>832</v>
      </c>
      <c r="L113" s="18" t="str">
        <f>_xlfn.IFNA(VLOOKUP(I113,科目余额表!B:M,11,0),K113)</f>
        <v>贷</v>
      </c>
    </row>
    <row r="114" spans="1:12">
      <c r="A114" s="122" t="s">
        <v>1016</v>
      </c>
      <c r="B114" s="112" t="s">
        <v>752</v>
      </c>
      <c r="C114" s="110"/>
      <c r="D114" s="110"/>
      <c r="E114" s="113">
        <f>上期TB!E116</f>
        <v>0</v>
      </c>
      <c r="F114" s="1">
        <f>ROUND(SUMIF(新准则转换ETY!D:D,B114,新准则转换ETY!F:F),2)</f>
        <v>0</v>
      </c>
      <c r="G114" s="1">
        <f>ROUND(SUMIF(新准则转换ETY!D:D,B114,新准则转换ETY!G:G),2)</f>
        <v>0</v>
      </c>
      <c r="H114" s="114">
        <f t="shared" si="21"/>
        <v>0</v>
      </c>
      <c r="I114" s="18" t="s">
        <v>752</v>
      </c>
      <c r="K114" s="18" t="s">
        <v>832</v>
      </c>
      <c r="L114" s="18" t="str">
        <f>_xlfn.IFNA(VLOOKUP(I114,科目余额表!B:M,11,0),K114)</f>
        <v>贷</v>
      </c>
    </row>
    <row r="115" spans="1:12">
      <c r="A115" s="123" t="s">
        <v>1017</v>
      </c>
      <c r="B115" s="112" t="s">
        <v>1018</v>
      </c>
      <c r="C115" s="110"/>
      <c r="D115" s="110"/>
      <c r="E115" s="113">
        <f>上期TB!E117</f>
        <v>0</v>
      </c>
      <c r="F115" s="1">
        <f>ROUND(SUMIF(新准则转换ETY!D:D,B115,新准则转换ETY!F:F),2)</f>
        <v>0</v>
      </c>
      <c r="G115" s="1">
        <f>ROUND(SUMIF(新准则转换ETY!D:D,B115,新准则转换ETY!G:G),2)</f>
        <v>0</v>
      </c>
      <c r="H115" s="114">
        <f t="shared" si="21"/>
        <v>0</v>
      </c>
      <c r="I115" s="18" t="s">
        <v>93</v>
      </c>
      <c r="K115" s="18" t="s">
        <v>832</v>
      </c>
      <c r="L115" s="18" t="str">
        <f>_xlfn.IFNA(VLOOKUP(I115,科目余额表!B:M,11,0),K115)</f>
        <v>贷</v>
      </c>
    </row>
    <row r="116" spans="1:12">
      <c r="A116" s="123" t="s">
        <v>1019</v>
      </c>
      <c r="B116" s="112" t="s">
        <v>1020</v>
      </c>
      <c r="C116" s="110"/>
      <c r="D116" s="110"/>
      <c r="E116" s="113">
        <f>上期TB!E118</f>
        <v>0</v>
      </c>
      <c r="F116" s="1">
        <f>ROUND(SUMIF(新准则转换ETY!D:D,B116,新准则转换ETY!F:F),2)</f>
        <v>0</v>
      </c>
      <c r="G116" s="1">
        <f>ROUND(SUMIF(新准则转换ETY!D:D,B116,新准则转换ETY!G:G),2)</f>
        <v>0</v>
      </c>
      <c r="H116" s="114">
        <f t="shared" si="21"/>
        <v>0</v>
      </c>
      <c r="I116" s="18" t="s">
        <v>767</v>
      </c>
      <c r="K116" s="18" t="s">
        <v>832</v>
      </c>
      <c r="L116" s="18" t="str">
        <f>_xlfn.IFNA(VLOOKUP(I116,科目余额表!B:M,11,0),K116)</f>
        <v>贷</v>
      </c>
    </row>
    <row r="117" spans="1:12">
      <c r="A117" s="122" t="s">
        <v>1021</v>
      </c>
      <c r="B117" s="112" t="s">
        <v>1022</v>
      </c>
      <c r="C117" s="110"/>
      <c r="D117" s="110"/>
      <c r="E117" s="113">
        <f>上期TB!E119</f>
        <v>0</v>
      </c>
      <c r="F117" s="1">
        <f>ROUND(SUMIF(新准则转换ETY!D:D,B117,新准则转换ETY!F:F),2)</f>
        <v>0</v>
      </c>
      <c r="G117" s="1">
        <f>ROUND(SUMIF(新准则转换ETY!D:D,B117,新准则转换ETY!G:G),2)</f>
        <v>0</v>
      </c>
      <c r="H117" s="114">
        <f t="shared" si="21"/>
        <v>0</v>
      </c>
      <c r="I117" s="18" t="s">
        <v>1023</v>
      </c>
      <c r="K117" s="18" t="s">
        <v>832</v>
      </c>
      <c r="L117" s="18" t="str">
        <f>_xlfn.IFNA(VLOOKUP(I117,科目余额表!B:M,11,0),K117)</f>
        <v>贷</v>
      </c>
    </row>
    <row r="118" spans="1:12">
      <c r="A118" s="122" t="s">
        <v>1024</v>
      </c>
      <c r="B118" s="112" t="s">
        <v>1025</v>
      </c>
      <c r="C118" s="110"/>
      <c r="D118" s="110"/>
      <c r="E118" s="113">
        <f>上期TB!E120</f>
        <v>0</v>
      </c>
      <c r="F118" s="1">
        <f>ROUND(SUMIF(新准则转换ETY!D:D,B118,新准则转换ETY!F:F),2)</f>
        <v>0</v>
      </c>
      <c r="G118" s="1">
        <f>ROUND(SUMIF(新准则转换ETY!D:D,B118,新准则转换ETY!G:G),2)</f>
        <v>0</v>
      </c>
      <c r="H118" s="114">
        <f t="shared" si="21"/>
        <v>0</v>
      </c>
      <c r="I118" s="18" t="s">
        <v>1025</v>
      </c>
      <c r="K118" s="18" t="s">
        <v>832</v>
      </c>
      <c r="L118" s="18" t="str">
        <f>_xlfn.IFNA(VLOOKUP(I118,科目余额表!B:M,11,0),K118)</f>
        <v>贷</v>
      </c>
    </row>
    <row r="119" spans="1:12">
      <c r="A119" s="123" t="s">
        <v>1026</v>
      </c>
      <c r="B119" s="112" t="s">
        <v>1027</v>
      </c>
      <c r="C119" s="110"/>
      <c r="D119" s="110"/>
      <c r="E119" s="113">
        <f>上期TB!E121</f>
        <v>0</v>
      </c>
      <c r="F119" s="1">
        <f>ROUND(SUMIF(新准则转换ETY!D:D,B119,新准则转换ETY!F:F),2)</f>
        <v>0</v>
      </c>
      <c r="G119" s="1">
        <f>ROUND(SUMIF(新准则转换ETY!D:D,B119,新准则转换ETY!G:G),2)</f>
        <v>0</v>
      </c>
      <c r="H119" s="114">
        <f t="shared" si="21"/>
        <v>0</v>
      </c>
      <c r="I119" s="18" t="s">
        <v>1027</v>
      </c>
      <c r="K119" s="18" t="s">
        <v>832</v>
      </c>
      <c r="L119" s="18" t="str">
        <f>_xlfn.IFNA(VLOOKUP(I119,科目余额表!B:M,11,0),K119)</f>
        <v>贷</v>
      </c>
    </row>
    <row r="120" spans="1:12">
      <c r="A120" s="122" t="s">
        <v>1028</v>
      </c>
      <c r="B120" s="112" t="s">
        <v>1029</v>
      </c>
      <c r="C120" s="110"/>
      <c r="D120" s="110"/>
      <c r="E120" s="113">
        <f>上期TB!E122</f>
        <v>0</v>
      </c>
      <c r="F120" s="1">
        <f>ROUND(SUMIF(新准则转换ETY!D:D,B120,新准则转换ETY!F:F),2)</f>
        <v>0</v>
      </c>
      <c r="G120" s="1">
        <f>ROUND(SUMIF(新准则转换ETY!D:D,B120,新准则转换ETY!G:G),2)</f>
        <v>0</v>
      </c>
      <c r="H120" s="114">
        <f t="shared" si="21"/>
        <v>0</v>
      </c>
      <c r="I120" s="18" t="s">
        <v>1029</v>
      </c>
      <c r="K120" s="18" t="s">
        <v>832</v>
      </c>
      <c r="L120" s="18" t="str">
        <f>_xlfn.IFNA(VLOOKUP(I120,科目余额表!B:M,11,0),K120)</f>
        <v>贷</v>
      </c>
    </row>
    <row r="121" spans="1:12">
      <c r="A121" s="122" t="s">
        <v>1030</v>
      </c>
      <c r="B121" s="112" t="s">
        <v>1031</v>
      </c>
      <c r="C121" s="110"/>
      <c r="D121" s="110"/>
      <c r="E121" s="113">
        <f>上期TB!E123</f>
        <v>0</v>
      </c>
      <c r="F121" s="1">
        <f>ROUND(SUMIF(新准则转换ETY!D:D,B121,新准则转换ETY!F:F),2)</f>
        <v>0</v>
      </c>
      <c r="G121" s="1">
        <f>ROUND(SUMIF(新准则转换ETY!D:D,B121,新准则转换ETY!G:G),2)</f>
        <v>0</v>
      </c>
      <c r="H121" s="114">
        <f t="shared" si="21"/>
        <v>0</v>
      </c>
      <c r="I121" s="18" t="s">
        <v>1031</v>
      </c>
      <c r="K121" s="18" t="s">
        <v>832</v>
      </c>
      <c r="L121" s="18" t="str">
        <f>_xlfn.IFNA(VLOOKUP(I121,科目余额表!B:M,11,0),K121)</f>
        <v>贷</v>
      </c>
    </row>
    <row r="122" spans="1:12">
      <c r="A122" s="122" t="s">
        <v>1032</v>
      </c>
      <c r="B122" s="112" t="s">
        <v>753</v>
      </c>
      <c r="C122" s="110"/>
      <c r="D122" s="110"/>
      <c r="E122" s="113">
        <f>上期TB!E124</f>
        <v>0</v>
      </c>
      <c r="F122" s="1">
        <f>ROUND(SUMIF(新准则转换ETY!D:D,B122,新准则转换ETY!F:F),2)</f>
        <v>0</v>
      </c>
      <c r="G122" s="1">
        <f>ROUND(SUMIF(新准则转换ETY!D:D,B122,新准则转换ETY!G:G),2)</f>
        <v>0</v>
      </c>
      <c r="H122" s="114">
        <f t="shared" si="21"/>
        <v>0</v>
      </c>
      <c r="I122" s="18" t="s">
        <v>753</v>
      </c>
      <c r="K122" s="18" t="s">
        <v>832</v>
      </c>
      <c r="L122" s="18" t="str">
        <f>_xlfn.IFNA(VLOOKUP(I122,科目余额表!B:M,11,0),K122)</f>
        <v>贷</v>
      </c>
    </row>
    <row r="123" spans="1:12">
      <c r="A123" s="122" t="s">
        <v>1033</v>
      </c>
      <c r="B123" s="112" t="s">
        <v>754</v>
      </c>
      <c r="C123" s="110"/>
      <c r="D123" s="110"/>
      <c r="E123" s="113">
        <f>上期TB!E125</f>
        <v>0</v>
      </c>
      <c r="F123" s="1">
        <f>ROUND(SUMIF(新准则转换ETY!D:D,B123,新准则转换ETY!F:F),2)</f>
        <v>0</v>
      </c>
      <c r="G123" s="1">
        <f>ROUND(SUMIF(新准则转换ETY!D:D,B123,新准则转换ETY!G:G),2)</f>
        <v>0</v>
      </c>
      <c r="H123" s="114">
        <f t="shared" si="21"/>
        <v>0</v>
      </c>
      <c r="I123" s="18" t="s">
        <v>754</v>
      </c>
      <c r="K123" s="18" t="s">
        <v>832</v>
      </c>
      <c r="L123" s="18" t="str">
        <f>_xlfn.IFNA(VLOOKUP(I123,科目余额表!B:M,11,0),K123)</f>
        <v>贷</v>
      </c>
    </row>
    <row r="124" spans="1:12">
      <c r="A124" s="122" t="s">
        <v>1034</v>
      </c>
      <c r="B124" s="112" t="s">
        <v>1035</v>
      </c>
      <c r="C124" s="110"/>
      <c r="D124" s="110"/>
      <c r="E124" s="113">
        <f>上期TB!E126</f>
        <v>0</v>
      </c>
      <c r="F124" s="1">
        <f>ROUND(SUMIF(新准则转换ETY!D:D,B124,新准则转换ETY!F:F),2)</f>
        <v>0</v>
      </c>
      <c r="G124" s="1">
        <f>ROUND(SUMIF(新准则转换ETY!D:D,B124,新准则转换ETY!G:G),2)</f>
        <v>0</v>
      </c>
      <c r="H124" s="114">
        <f t="shared" si="21"/>
        <v>0</v>
      </c>
      <c r="I124" s="18" t="s">
        <v>526</v>
      </c>
      <c r="K124" s="18" t="s">
        <v>832</v>
      </c>
      <c r="L124" s="18" t="str">
        <f>_xlfn.IFNA(VLOOKUP(I124,科目余额表!B:M,11,0),K124)</f>
        <v>贷</v>
      </c>
    </row>
    <row r="125" spans="1:12">
      <c r="A125" s="122" t="s">
        <v>1036</v>
      </c>
      <c r="B125" s="112" t="s">
        <v>1037</v>
      </c>
      <c r="C125" s="110"/>
      <c r="D125" s="110"/>
      <c r="E125" s="113">
        <f>上期TB!E127</f>
        <v>0</v>
      </c>
      <c r="F125" s="1">
        <f>ROUND(SUMIF(新准则转换ETY!D:D,B125,新准则转换ETY!F:F),2)</f>
        <v>0</v>
      </c>
      <c r="G125" s="1">
        <f>ROUND(SUMIF(新准则转换ETY!D:D,B125,新准则转换ETY!G:G),2)</f>
        <v>0</v>
      </c>
      <c r="H125" s="114">
        <f t="shared" si="21"/>
        <v>0</v>
      </c>
      <c r="I125" s="18" t="s">
        <v>527</v>
      </c>
      <c r="K125" s="18" t="s">
        <v>832</v>
      </c>
      <c r="L125" s="18" t="str">
        <f>_xlfn.IFNA(VLOOKUP(I125,科目余额表!B:M,11,0),K125)</f>
        <v>贷</v>
      </c>
    </row>
    <row r="126" spans="1:12">
      <c r="A126" s="122" t="s">
        <v>1038</v>
      </c>
      <c r="B126" s="112" t="s">
        <v>528</v>
      </c>
      <c r="C126" s="110"/>
      <c r="D126" s="110"/>
      <c r="E126" s="113">
        <f>上期TB!E128</f>
        <v>0</v>
      </c>
      <c r="F126" s="1">
        <f>ROUND(SUMIF(新准则转换ETY!D:D,B126,新准则转换ETY!F:F),2)</f>
        <v>0</v>
      </c>
      <c r="G126" s="1">
        <f>ROUND(SUMIF(新准则转换ETY!D:D,B126,新准则转换ETY!G:G),2)</f>
        <v>0</v>
      </c>
      <c r="H126" s="114">
        <f>ROUND(E126-F126+G126,2)</f>
        <v>0</v>
      </c>
      <c r="I126" s="18" t="s">
        <v>528</v>
      </c>
      <c r="K126" s="18" t="s">
        <v>832</v>
      </c>
      <c r="L126" s="18" t="str">
        <f>_xlfn.IFNA(VLOOKUP(I126,科目余额表!B:M,11,0),K126)</f>
        <v>贷</v>
      </c>
    </row>
    <row r="127" spans="1:12">
      <c r="A127" s="122" t="s">
        <v>1039</v>
      </c>
      <c r="B127" s="112" t="s">
        <v>1040</v>
      </c>
      <c r="C127" s="110"/>
      <c r="D127" s="110"/>
      <c r="E127" s="113">
        <f>上期TB!E129</f>
        <v>0</v>
      </c>
      <c r="F127" s="1">
        <f>ROUND(SUMIF(新准则转换ETY!D:D,B127,新准则转换ETY!F:F),2)</f>
        <v>0</v>
      </c>
      <c r="G127" s="1">
        <f>ROUND(SUMIF(新准则转换ETY!D:D,B127,新准则转换ETY!G:G),2)</f>
        <v>0</v>
      </c>
      <c r="H127" s="114">
        <f t="shared" si="21"/>
        <v>0</v>
      </c>
      <c r="I127" s="18" t="s">
        <v>1040</v>
      </c>
      <c r="K127" s="18" t="s">
        <v>832</v>
      </c>
      <c r="L127" s="18" t="str">
        <f>_xlfn.IFNA(VLOOKUP(I127,科目余额表!B:M,11,0),K127)</f>
        <v>贷</v>
      </c>
    </row>
    <row r="128" spans="1:12">
      <c r="A128" s="122" t="s">
        <v>1041</v>
      </c>
      <c r="B128" s="112" t="s">
        <v>1042</v>
      </c>
      <c r="C128" s="110"/>
      <c r="D128" s="110"/>
      <c r="E128" s="113">
        <f>上期TB!E130</f>
        <v>0</v>
      </c>
      <c r="F128" s="1">
        <f>ROUND(SUMIF(新准则转换ETY!D:D,B128,新准则转换ETY!F:F),2)</f>
        <v>0</v>
      </c>
      <c r="G128" s="1">
        <f>ROUND(SUMIF(新准则转换ETY!D:D,B128,新准则转换ETY!G:G),2)</f>
        <v>0</v>
      </c>
      <c r="H128" s="114">
        <f t="shared" si="21"/>
        <v>0</v>
      </c>
      <c r="I128" s="18" t="s">
        <v>1042</v>
      </c>
      <c r="K128" s="18" t="s">
        <v>832</v>
      </c>
      <c r="L128" s="18" t="str">
        <f>_xlfn.IFNA(VLOOKUP(I128,科目余额表!B:M,11,0),K128)</f>
        <v>贷</v>
      </c>
    </row>
    <row r="129" spans="1:12">
      <c r="A129" s="122" t="s">
        <v>1043</v>
      </c>
      <c r="B129" s="112" t="s">
        <v>82</v>
      </c>
      <c r="C129" s="110"/>
      <c r="D129" s="116" t="s">
        <v>823</v>
      </c>
      <c r="E129" s="113">
        <f>上期TB!E131</f>
        <v>0</v>
      </c>
      <c r="F129" s="1">
        <f>ROUND(SUMIF(新准则转换ETY!D:D,B129,新准则转换ETY!F:F),2)</f>
        <v>0</v>
      </c>
      <c r="G129" s="1">
        <f>ROUND(SUMIF(新准则转换ETY!D:D,B129,新准则转换ETY!G:G),2)</f>
        <v>0</v>
      </c>
      <c r="H129" s="114">
        <f t="shared" si="21"/>
        <v>0</v>
      </c>
      <c r="I129" s="18" t="s">
        <v>82</v>
      </c>
      <c r="K129" s="18" t="s">
        <v>832</v>
      </c>
      <c r="L129" s="18" t="str">
        <f>_xlfn.IFNA(VLOOKUP(I129,科目余额表!B:M,11,0),K129)</f>
        <v>贷</v>
      </c>
    </row>
    <row r="130" spans="1:12">
      <c r="A130" s="122" t="s">
        <v>1044</v>
      </c>
      <c r="B130" s="112" t="s">
        <v>1045</v>
      </c>
      <c r="C130" s="110"/>
      <c r="D130" s="110"/>
      <c r="E130" s="113">
        <f>上期TB!E132</f>
        <v>0</v>
      </c>
      <c r="F130" s="1">
        <f>ROUND(SUMIF(新准则转换ETY!D:D,B130,新准则转换ETY!F:F),2)</f>
        <v>0</v>
      </c>
      <c r="G130" s="1">
        <f>ROUND(SUMIF(新准则转换ETY!D:D,B130,新准则转换ETY!G:G),2)</f>
        <v>0</v>
      </c>
      <c r="H130" s="114">
        <f t="shared" si="21"/>
        <v>0</v>
      </c>
      <c r="I130" s="18" t="s">
        <v>1045</v>
      </c>
      <c r="K130" s="18" t="s">
        <v>832</v>
      </c>
      <c r="L130" s="18" t="str">
        <f>_xlfn.IFNA(VLOOKUP(I130,科目余额表!B:M,11,0),K130)</f>
        <v>贷</v>
      </c>
    </row>
    <row r="131" spans="1:12">
      <c r="A131" s="122" t="s">
        <v>1046</v>
      </c>
      <c r="B131" s="112" t="s">
        <v>1047</v>
      </c>
      <c r="C131" s="110"/>
      <c r="D131" s="110"/>
      <c r="E131" s="113">
        <f>上期TB!E133</f>
        <v>0</v>
      </c>
      <c r="F131" s="1">
        <f>ROUND(SUMIF(新准则转换ETY!D:D,B131,新准则转换ETY!F:F),2)</f>
        <v>0</v>
      </c>
      <c r="G131" s="1">
        <f>ROUND(SUMIF(新准则转换ETY!D:D,B131,新准则转换ETY!G:G),2)</f>
        <v>0</v>
      </c>
      <c r="H131" s="114">
        <f t="shared" si="21"/>
        <v>0</v>
      </c>
      <c r="I131" s="18" t="s">
        <v>1047</v>
      </c>
      <c r="K131" s="18" t="s">
        <v>832</v>
      </c>
      <c r="L131" s="18" t="str">
        <f>_xlfn.IFNA(VLOOKUP(I131,科目余额表!B:M,11,0),K131)</f>
        <v>贷</v>
      </c>
    </row>
    <row r="132" spans="1:12">
      <c r="A132" s="122" t="s">
        <v>1048</v>
      </c>
      <c r="B132" s="112" t="s">
        <v>1049</v>
      </c>
      <c r="C132" s="110"/>
      <c r="D132" s="110"/>
      <c r="E132" s="113">
        <f>上期TB!E134</f>
        <v>0</v>
      </c>
      <c r="F132" s="1">
        <f>ROUND(SUMIF(新准则转换ETY!D:D,B132,新准则转换ETY!F:F),2)</f>
        <v>0</v>
      </c>
      <c r="G132" s="1">
        <f>ROUND(SUMIF(新准则转换ETY!D:D,B132,新准则转换ETY!G:G),2)</f>
        <v>0</v>
      </c>
      <c r="H132" s="114">
        <f t="shared" si="21"/>
        <v>0</v>
      </c>
      <c r="I132" s="18" t="s">
        <v>1049</v>
      </c>
      <c r="K132" s="18" t="s">
        <v>832</v>
      </c>
      <c r="L132" s="18" t="str">
        <f>_xlfn.IFNA(VLOOKUP(I132,科目余额表!B:M,11,0),K132)</f>
        <v>贷</v>
      </c>
    </row>
    <row r="133" spans="1:12">
      <c r="A133" s="121" t="s">
        <v>1050</v>
      </c>
      <c r="B133" s="112"/>
      <c r="C133" s="118"/>
      <c r="D133" s="118"/>
      <c r="E133" s="120">
        <f>上期TB!E135</f>
        <v>0</v>
      </c>
      <c r="F133" s="110">
        <f t="shared" ref="F133:G133" si="22">F108+F109+F110+F111+F112+F113+F114+F115+F116+F117+F118+F119+F120+F121+F122+F123+F126+F127+F128+F129+F130+F131+F132+F124+F125</f>
        <v>0</v>
      </c>
      <c r="G133" s="110">
        <f t="shared" si="22"/>
        <v>0</v>
      </c>
      <c r="H133" s="120">
        <f>H108+H109+H110+H111+H112+H113+H114+H115+H116+H117+H118+H119+H120+H121+H122+H123+H126+H127+H128+H129+H130+H131+H132+H124+H125</f>
        <v>0</v>
      </c>
      <c r="L133" s="18">
        <f>_xlfn.IFNA(VLOOKUP(I133,科目余额表!B:M,11,0),K133)</f>
        <v>0</v>
      </c>
    </row>
    <row r="134" spans="1:12">
      <c r="A134" s="121" t="s">
        <v>1051</v>
      </c>
      <c r="B134" s="112"/>
      <c r="C134" s="110"/>
      <c r="D134" s="110"/>
      <c r="E134" s="110">
        <f>上期TB!E136</f>
        <v>0</v>
      </c>
      <c r="L134" s="18">
        <f>_xlfn.IFNA(VLOOKUP(I134,科目余额表!B:M,11,0),K134)</f>
        <v>0</v>
      </c>
    </row>
    <row r="135" spans="1:12">
      <c r="A135" s="122" t="s">
        <v>1052</v>
      </c>
      <c r="B135" s="112" t="s">
        <v>1053</v>
      </c>
      <c r="C135" s="110"/>
      <c r="D135" s="110"/>
      <c r="E135" s="110">
        <f>上期TB!E137</f>
        <v>0</v>
      </c>
      <c r="F135" s="1">
        <f>ROUND(SUMIF(新准则转换ETY!D:D,B135,新准则转换ETY!F:F),2)</f>
        <v>0</v>
      </c>
      <c r="G135" s="1">
        <f>ROUND(SUMIF(新准则转换ETY!D:D,B135,新准则转换ETY!G:G),2)</f>
        <v>0</v>
      </c>
      <c r="H135" s="114">
        <f t="shared" ref="H135:H149" si="23">ROUND(E135-F135+G135,2)</f>
        <v>0</v>
      </c>
      <c r="I135" s="18" t="s">
        <v>1053</v>
      </c>
      <c r="K135" s="18" t="s">
        <v>832</v>
      </c>
      <c r="L135" s="18" t="str">
        <f>_xlfn.IFNA(VLOOKUP(I135,科目余额表!B:M,11,0),K135)</f>
        <v>贷</v>
      </c>
    </row>
    <row r="136" spans="1:12">
      <c r="A136" s="122" t="s">
        <v>1054</v>
      </c>
      <c r="B136" s="112" t="s">
        <v>736</v>
      </c>
      <c r="C136" s="110"/>
      <c r="D136" s="110"/>
      <c r="E136" s="113">
        <f>上期TB!E138</f>
        <v>0</v>
      </c>
      <c r="F136" s="1">
        <f>ROUND(SUMIF(新准则转换ETY!D:D,B136,新准则转换ETY!F:F),2)</f>
        <v>0</v>
      </c>
      <c r="G136" s="1">
        <f>ROUND(SUMIF(新准则转换ETY!D:D,B136,新准则转换ETY!G:G),2)</f>
        <v>0</v>
      </c>
      <c r="H136" s="114">
        <f t="shared" si="23"/>
        <v>0</v>
      </c>
      <c r="I136" s="18" t="s">
        <v>736</v>
      </c>
      <c r="K136" s="18" t="s">
        <v>832</v>
      </c>
      <c r="L136" s="18" t="str">
        <f>_xlfn.IFNA(VLOOKUP(I136,科目余额表!B:M,11,0),K136)</f>
        <v>贷</v>
      </c>
    </row>
    <row r="137" spans="1:12">
      <c r="A137" s="122" t="s">
        <v>1055</v>
      </c>
      <c r="B137" s="112" t="s">
        <v>756</v>
      </c>
      <c r="C137" s="110"/>
      <c r="D137" s="110"/>
      <c r="E137" s="113">
        <f>上期TB!E139</f>
        <v>0</v>
      </c>
      <c r="F137" s="1">
        <f>ROUND(SUMIF(新准则转换ETY!D:D,B137,新准则转换ETY!F:F),2)</f>
        <v>0</v>
      </c>
      <c r="G137" s="1">
        <f>ROUND(SUMIF(新准则转换ETY!D:D,B137,新准则转换ETY!G:G),2)</f>
        <v>0</v>
      </c>
      <c r="H137" s="114">
        <f t="shared" si="23"/>
        <v>0</v>
      </c>
      <c r="I137" s="18" t="s">
        <v>756</v>
      </c>
      <c r="K137" s="18" t="s">
        <v>832</v>
      </c>
      <c r="L137" s="18" t="str">
        <f>_xlfn.IFNA(VLOOKUP(I137,科目余额表!B:M,11,0),K137)</f>
        <v>贷</v>
      </c>
    </row>
    <row r="138" spans="1:12">
      <c r="A138" s="122" t="s">
        <v>1056</v>
      </c>
      <c r="B138" s="112" t="s">
        <v>1057</v>
      </c>
      <c r="C138" s="110"/>
      <c r="D138" s="110"/>
      <c r="E138" s="110">
        <f>上期TB!E140</f>
        <v>0</v>
      </c>
      <c r="F138" s="1">
        <f>ROUND(SUMIF(新准则转换ETY!D:D,B138,新准则转换ETY!F:F),2)</f>
        <v>0</v>
      </c>
      <c r="G138" s="1">
        <f>ROUND(SUMIF(新准则转换ETY!D:D,B138,新准则转换ETY!G:G),2)</f>
        <v>0</v>
      </c>
      <c r="H138" s="114">
        <f t="shared" si="23"/>
        <v>0</v>
      </c>
      <c r="I138" s="18" t="s">
        <v>1058</v>
      </c>
      <c r="K138" s="18" t="s">
        <v>832</v>
      </c>
      <c r="L138" s="18" t="str">
        <f>_xlfn.IFNA(VLOOKUP(I138,科目余额表!B:M,11,0),K138)</f>
        <v>贷</v>
      </c>
    </row>
    <row r="139" spans="1:12">
      <c r="A139" s="123" t="s">
        <v>1059</v>
      </c>
      <c r="B139" s="112" t="s">
        <v>1060</v>
      </c>
      <c r="C139" s="110"/>
      <c r="D139" s="110"/>
      <c r="E139" s="110">
        <f>上期TB!E141</f>
        <v>0</v>
      </c>
      <c r="F139" s="1">
        <f>ROUND(SUMIF(新准则转换ETY!D:D,B139,新准则转换ETY!F:F),2)</f>
        <v>0</v>
      </c>
      <c r="G139" s="1">
        <f>ROUND(SUMIF(新准则转换ETY!D:D,B139,新准则转换ETY!G:G),2)</f>
        <v>0</v>
      </c>
      <c r="H139" s="114">
        <f t="shared" si="23"/>
        <v>0</v>
      </c>
      <c r="I139" s="18" t="s">
        <v>1060</v>
      </c>
      <c r="K139" s="18" t="s">
        <v>832</v>
      </c>
      <c r="L139" s="18" t="str">
        <f>_xlfn.IFNA(VLOOKUP(I139,科目余额表!B:M,11,0),K139)</f>
        <v>贷</v>
      </c>
    </row>
    <row r="140" spans="1:12">
      <c r="A140" s="123" t="s">
        <v>1061</v>
      </c>
      <c r="B140" s="112" t="s">
        <v>92</v>
      </c>
      <c r="C140" s="110"/>
      <c r="D140" s="116" t="s">
        <v>823</v>
      </c>
      <c r="E140" s="110">
        <f>上期TB!E142</f>
        <v>0</v>
      </c>
      <c r="F140" s="1">
        <f>ROUND(SUMIF(新准则转换ETY!D:D,B140,新准则转换ETY!F:F),2)</f>
        <v>0</v>
      </c>
      <c r="G140" s="1">
        <f>ROUND(SUMIF(新准则转换ETY!D:D,B140,新准则转换ETY!G:G),2)</f>
        <v>0</v>
      </c>
      <c r="H140" s="114">
        <f t="shared" si="23"/>
        <v>0</v>
      </c>
      <c r="I140" s="18" t="s">
        <v>92</v>
      </c>
      <c r="K140" s="18" t="s">
        <v>832</v>
      </c>
      <c r="L140" s="18" t="str">
        <f>_xlfn.IFNA(VLOOKUP(I140,科目余额表!B:M,11,0),K140)</f>
        <v>贷</v>
      </c>
    </row>
    <row r="141" spans="1:12">
      <c r="A141" s="123" t="s">
        <v>1062</v>
      </c>
      <c r="B141" s="112" t="s">
        <v>1063</v>
      </c>
      <c r="C141" s="110"/>
      <c r="D141" s="116"/>
      <c r="E141" s="113">
        <f>上期TB!E143</f>
        <v>0</v>
      </c>
      <c r="F141" s="1">
        <f>ROUND(SUMIF(新准则转换ETY!D:D,B141,新准则转换ETY!F:F),2)</f>
        <v>0</v>
      </c>
      <c r="G141" s="1">
        <f>ROUND(SUMIF(新准则转换ETY!D:D,B141,新准则转换ETY!G:G),2)</f>
        <v>0</v>
      </c>
      <c r="H141" s="114">
        <f t="shared" si="23"/>
        <v>0</v>
      </c>
      <c r="I141" s="18" t="s">
        <v>1063</v>
      </c>
      <c r="K141" s="18" t="s">
        <v>832</v>
      </c>
      <c r="L141" s="18" t="str">
        <f>_xlfn.IFNA(VLOOKUP(I141,科目余额表!B:M,11,0),K141)</f>
        <v>贷</v>
      </c>
    </row>
    <row r="142" spans="1:12">
      <c r="A142" s="123" t="s">
        <v>1064</v>
      </c>
      <c r="B142" s="112" t="s">
        <v>1065</v>
      </c>
      <c r="C142" s="110"/>
      <c r="D142" s="116"/>
      <c r="E142" s="113">
        <f>上期TB!E144</f>
        <v>0</v>
      </c>
      <c r="F142" s="1">
        <f>ROUND(SUMIF(新准则转换ETY!D:D,B142,新准则转换ETY!F:F),2)</f>
        <v>0</v>
      </c>
      <c r="G142" s="1">
        <f>ROUND(SUMIF(新准则转换ETY!D:D,B142,新准则转换ETY!G:G),2)</f>
        <v>0</v>
      </c>
      <c r="H142" s="114">
        <f t="shared" si="23"/>
        <v>0</v>
      </c>
      <c r="I142" s="18" t="s">
        <v>94</v>
      </c>
      <c r="K142" s="18" t="s">
        <v>832</v>
      </c>
      <c r="L142" s="18" t="str">
        <f>_xlfn.IFNA(VLOOKUP(I142,科目余额表!B:M,11,0),K142)</f>
        <v>贷</v>
      </c>
    </row>
    <row r="143" spans="1:12">
      <c r="A143" s="123" t="s">
        <v>1066</v>
      </c>
      <c r="B143" s="112" t="s">
        <v>1067</v>
      </c>
      <c r="C143" s="110"/>
      <c r="D143" s="116"/>
      <c r="E143" s="113">
        <f>上期TB!E145</f>
        <v>0</v>
      </c>
      <c r="F143" s="1">
        <f>ROUND(SUMIF(新准则转换ETY!D:D,B143,新准则转换ETY!F:F),2)</f>
        <v>0</v>
      </c>
      <c r="G143" s="1">
        <f>ROUND(SUMIF(新准则转换ETY!D:D,B143,新准则转换ETY!G:G),2)</f>
        <v>0</v>
      </c>
      <c r="H143" s="114">
        <f t="shared" ref="H143" si="24">ROUND(E143+F143-G143,2)</f>
        <v>0</v>
      </c>
      <c r="I143" s="18" t="s">
        <v>1068</v>
      </c>
      <c r="K143" s="18" t="s">
        <v>799</v>
      </c>
      <c r="L143" s="18" t="s">
        <v>799</v>
      </c>
    </row>
    <row r="144" spans="1:12">
      <c r="A144" s="122" t="s">
        <v>1070</v>
      </c>
      <c r="B144" s="112"/>
      <c r="C144" s="110"/>
      <c r="D144" s="110"/>
      <c r="E144" s="113">
        <f>上期TB!E146</f>
        <v>0</v>
      </c>
      <c r="F144" s="1"/>
      <c r="G144" s="1"/>
      <c r="H144" s="114">
        <f>H142-H143</f>
        <v>0</v>
      </c>
    </row>
    <row r="145" spans="1:12">
      <c r="A145" s="122" t="s">
        <v>1071</v>
      </c>
      <c r="B145" s="112" t="s">
        <v>1072</v>
      </c>
      <c r="C145" s="110"/>
      <c r="D145" s="110"/>
      <c r="E145" s="113">
        <f>上期TB!E147</f>
        <v>0</v>
      </c>
      <c r="F145" s="1">
        <f>ROUND(SUMIF(新准则转换ETY!D:D,B145,新准则转换ETY!F:F),2)</f>
        <v>0</v>
      </c>
      <c r="G145" s="1">
        <f>ROUND(SUMIF(新准则转换ETY!D:D,B145,新准则转换ETY!G:G),2)</f>
        <v>0</v>
      </c>
      <c r="H145" s="114">
        <f t="shared" si="23"/>
        <v>0</v>
      </c>
      <c r="I145" s="18" t="s">
        <v>1072</v>
      </c>
      <c r="K145" s="18" t="s">
        <v>832</v>
      </c>
      <c r="L145" s="18" t="str">
        <f>_xlfn.IFNA(VLOOKUP(I145,科目余额表!B:M,11,0),K145)</f>
        <v>贷</v>
      </c>
    </row>
    <row r="146" spans="1:12">
      <c r="A146" s="122" t="s">
        <v>1073</v>
      </c>
      <c r="B146" s="112" t="s">
        <v>1074</v>
      </c>
      <c r="C146" s="110"/>
      <c r="D146" s="110"/>
      <c r="E146" s="113">
        <f>上期TB!E148</f>
        <v>0</v>
      </c>
      <c r="F146" s="1">
        <f>ROUND(SUMIF(新准则转换ETY!D:D,B146,新准则转换ETY!F:F),2)</f>
        <v>0</v>
      </c>
      <c r="G146" s="1">
        <f>ROUND(SUMIF(新准则转换ETY!D:D,B146,新准则转换ETY!G:G),2)</f>
        <v>0</v>
      </c>
      <c r="H146" s="114">
        <f t="shared" si="23"/>
        <v>0</v>
      </c>
      <c r="I146" s="18" t="s">
        <v>1074</v>
      </c>
      <c r="K146" s="18" t="s">
        <v>832</v>
      </c>
      <c r="L146" s="18" t="str">
        <f>_xlfn.IFNA(VLOOKUP(I146,科目余额表!B:M,11,0),K146)</f>
        <v>贷</v>
      </c>
    </row>
    <row r="147" spans="1:12">
      <c r="A147" s="122" t="s">
        <v>1075</v>
      </c>
      <c r="B147" s="112" t="s">
        <v>755</v>
      </c>
      <c r="C147" s="110"/>
      <c r="D147" s="110"/>
      <c r="E147" s="113">
        <f>上期TB!E149</f>
        <v>0</v>
      </c>
      <c r="F147" s="1">
        <f>ROUND(SUMIF(新准则转换ETY!D:D,B147,新准则转换ETY!F:F),2)</f>
        <v>0</v>
      </c>
      <c r="G147" s="1">
        <f>ROUND(SUMIF(新准则转换ETY!D:D,B147,新准则转换ETY!G:G),2)</f>
        <v>0</v>
      </c>
      <c r="H147" s="114">
        <f t="shared" si="23"/>
        <v>0</v>
      </c>
      <c r="I147" s="18" t="s">
        <v>755</v>
      </c>
      <c r="K147" s="18" t="s">
        <v>832</v>
      </c>
      <c r="L147" s="18" t="str">
        <f>_xlfn.IFNA(VLOOKUP(I147,科目余额表!B:M,11,0),K147)</f>
        <v>贷</v>
      </c>
    </row>
    <row r="148" spans="1:12">
      <c r="A148" s="122" t="s">
        <v>1076</v>
      </c>
      <c r="B148" s="112" t="s">
        <v>757</v>
      </c>
      <c r="C148" s="110"/>
      <c r="D148" s="110"/>
      <c r="E148" s="113">
        <f>上期TB!E150</f>
        <v>0</v>
      </c>
      <c r="F148" s="1">
        <f>ROUND(SUMIF(新准则转换ETY!D:D,B148,新准则转换ETY!F:F),2)</f>
        <v>0</v>
      </c>
      <c r="G148" s="1">
        <f>ROUND(SUMIF(新准则转换ETY!D:D,B148,新准则转换ETY!G:G),2)</f>
        <v>0</v>
      </c>
      <c r="H148" s="114">
        <f t="shared" si="23"/>
        <v>0</v>
      </c>
      <c r="I148" s="18" t="s">
        <v>757</v>
      </c>
      <c r="K148" s="18" t="s">
        <v>832</v>
      </c>
      <c r="L148" s="18" t="str">
        <f>_xlfn.IFNA(VLOOKUP(I148,科目余额表!B:M,11,0),K148)</f>
        <v>贷</v>
      </c>
    </row>
    <row r="149" spans="1:12">
      <c r="A149" s="122" t="s">
        <v>1077</v>
      </c>
      <c r="B149" s="112" t="s">
        <v>84</v>
      </c>
      <c r="C149" s="110"/>
      <c r="D149" s="110"/>
      <c r="E149" s="113">
        <f>上期TB!E151</f>
        <v>0</v>
      </c>
      <c r="F149" s="1">
        <f>ROUND(SUMIF(新准则转换ETY!D:D,B149,新准则转换ETY!F:F),2)</f>
        <v>0</v>
      </c>
      <c r="G149" s="1">
        <f>ROUND(SUMIF(新准则转换ETY!D:D,B149,新准则转换ETY!G:G),2)</f>
        <v>0</v>
      </c>
      <c r="H149" s="114">
        <f t="shared" si="23"/>
        <v>0</v>
      </c>
      <c r="I149" s="18" t="s">
        <v>84</v>
      </c>
      <c r="K149" s="18" t="s">
        <v>832</v>
      </c>
      <c r="L149" s="18" t="str">
        <f>_xlfn.IFNA(VLOOKUP(I149,科目余额表!B:M,11,0),K149)</f>
        <v>贷</v>
      </c>
    </row>
    <row r="150" spans="1:12">
      <c r="A150" s="121" t="s">
        <v>1078</v>
      </c>
      <c r="B150" s="112"/>
      <c r="C150" s="118"/>
      <c r="D150" s="118"/>
      <c r="E150" s="120">
        <f>上期TB!E152</f>
        <v>0</v>
      </c>
      <c r="F150" s="110">
        <f t="shared" ref="F150:G150" si="25">F135+F136+F137+F140+F144+F145+F146+F147+F148+F149</f>
        <v>0</v>
      </c>
      <c r="G150" s="110">
        <f t="shared" si="25"/>
        <v>0</v>
      </c>
      <c r="H150" s="120">
        <f>H135+H136+H137+H140+H141+H144+H145+H146+H147+H148+H149</f>
        <v>0</v>
      </c>
      <c r="L150" s="18">
        <f>_xlfn.IFNA(VLOOKUP(I150,科目余额表!B:M,11,0),K150)</f>
        <v>0</v>
      </c>
    </row>
    <row r="151" spans="1:12">
      <c r="A151" s="121" t="s">
        <v>1079</v>
      </c>
      <c r="B151" s="112"/>
      <c r="C151" s="110"/>
      <c r="D151" s="110"/>
      <c r="E151" s="120">
        <f>上期TB!E153</f>
        <v>0</v>
      </c>
      <c r="F151" s="110">
        <f t="shared" ref="F151:H151" si="26">F150+F133</f>
        <v>0</v>
      </c>
      <c r="G151" s="110">
        <f t="shared" si="26"/>
        <v>0</v>
      </c>
      <c r="H151" s="120">
        <f t="shared" si="26"/>
        <v>0</v>
      </c>
      <c r="L151" s="18">
        <f>_xlfn.IFNA(VLOOKUP(I151,科目余额表!B:M,11,0),K151)</f>
        <v>0</v>
      </c>
    </row>
    <row r="152" spans="1:12">
      <c r="A152" s="124" t="s">
        <v>1080</v>
      </c>
      <c r="B152" s="112"/>
      <c r="C152" s="110"/>
      <c r="D152" s="110"/>
      <c r="E152" s="110">
        <f>上期TB!E154</f>
        <v>0</v>
      </c>
      <c r="L152" s="18">
        <f>_xlfn.IFNA(VLOOKUP(I152,科目余额表!B:M,11,0),K152)</f>
        <v>0</v>
      </c>
    </row>
    <row r="153" spans="1:12">
      <c r="A153" s="122" t="s">
        <v>1081</v>
      </c>
      <c r="B153" s="112" t="s">
        <v>1082</v>
      </c>
      <c r="C153" s="110"/>
      <c r="D153" s="110"/>
      <c r="E153" s="113">
        <f>上期TB!E155</f>
        <v>0</v>
      </c>
      <c r="F153" s="1">
        <f>ROUND(SUMIF(新准则转换ETY!D:D,B153,新准则转换ETY!F:F),2)</f>
        <v>0</v>
      </c>
      <c r="G153" s="1">
        <f>ROUND(SUMIF(新准则转换ETY!D:D,B153,新准则转换ETY!G:G),2)</f>
        <v>0</v>
      </c>
      <c r="H153" s="114">
        <f t="shared" ref="H153:H162" si="27">ROUND(E153-F153+G153,2)</f>
        <v>0</v>
      </c>
      <c r="I153" s="18" t="s">
        <v>758</v>
      </c>
      <c r="K153" s="18" t="s">
        <v>832</v>
      </c>
      <c r="L153" s="18" t="str">
        <f>_xlfn.IFNA(VLOOKUP(I153,科目余额表!B:M,11,0),K153)</f>
        <v>贷</v>
      </c>
    </row>
    <row r="154" spans="1:12">
      <c r="A154" s="122" t="s">
        <v>1083</v>
      </c>
      <c r="B154" s="112" t="s">
        <v>1084</v>
      </c>
      <c r="C154" s="110"/>
      <c r="D154" s="110"/>
      <c r="E154" s="110">
        <f>上期TB!E156</f>
        <v>0</v>
      </c>
      <c r="F154" s="1">
        <f>ROUND(SUMIF(新准则转换ETY!D:D,B154,新准则转换ETY!F:F),2)</f>
        <v>0</v>
      </c>
      <c r="G154" s="1">
        <f>ROUND(SUMIF(新准则转换ETY!D:D,B154,新准则转换ETY!G:G),2)</f>
        <v>0</v>
      </c>
      <c r="H154" s="114">
        <f t="shared" si="27"/>
        <v>0</v>
      </c>
      <c r="I154" s="18" t="s">
        <v>1084</v>
      </c>
      <c r="K154" s="18" t="s">
        <v>832</v>
      </c>
      <c r="L154" s="18" t="str">
        <f>_xlfn.IFNA(VLOOKUP(I154,科目余额表!B:M,11,0),K154)</f>
        <v>贷</v>
      </c>
    </row>
    <row r="155" spans="1:12">
      <c r="A155" s="122" t="s">
        <v>1085</v>
      </c>
      <c r="B155" s="112"/>
      <c r="C155" s="110"/>
      <c r="D155" s="110"/>
      <c r="E155" s="110">
        <f>上期TB!E157</f>
        <v>0</v>
      </c>
      <c r="F155" s="1">
        <f>ROUND(SUMIF(新准则转换ETY!D:D,B155,新准则转换ETY!F:F),2)</f>
        <v>0</v>
      </c>
      <c r="G155" s="1">
        <f>ROUND(SUMIF(新准则转换ETY!D:D,B155,新准则转换ETY!G:G),2)</f>
        <v>0</v>
      </c>
      <c r="H155" s="114">
        <f t="shared" si="27"/>
        <v>0</v>
      </c>
      <c r="L155" s="18">
        <f>_xlfn.IFNA(VLOOKUP(I155,科目余额表!B:M,11,0),K155)</f>
        <v>0</v>
      </c>
    </row>
    <row r="156" spans="1:12">
      <c r="A156" s="122" t="s">
        <v>1086</v>
      </c>
      <c r="B156" s="112"/>
      <c r="C156" s="110"/>
      <c r="D156" s="110"/>
      <c r="E156" s="110">
        <f>上期TB!E158</f>
        <v>0</v>
      </c>
      <c r="F156" s="1">
        <f>ROUND(SUMIF(新准则转换ETY!D:D,B156,新准则转换ETY!F:F),2)</f>
        <v>0</v>
      </c>
      <c r="G156" s="1">
        <f>ROUND(SUMIF(新准则转换ETY!D:D,B156,新准则转换ETY!G:G),2)</f>
        <v>0</v>
      </c>
      <c r="H156" s="114">
        <f t="shared" si="27"/>
        <v>0</v>
      </c>
      <c r="L156" s="18">
        <f>_xlfn.IFNA(VLOOKUP(I156,科目余额表!B:M,11,0),K156)</f>
        <v>0</v>
      </c>
    </row>
    <row r="157" spans="1:12">
      <c r="A157" s="122" t="s">
        <v>1087</v>
      </c>
      <c r="B157" s="112" t="s">
        <v>759</v>
      </c>
      <c r="C157" s="110"/>
      <c r="D157" s="110"/>
      <c r="E157" s="113">
        <f>上期TB!E159</f>
        <v>0</v>
      </c>
      <c r="F157" s="1">
        <f>ROUND(SUMIF(新准则转换ETY!D:D,B157,新准则转换ETY!F:F),2)</f>
        <v>0</v>
      </c>
      <c r="G157" s="1">
        <f>ROUND(SUMIF(新准则转换ETY!D:D,B157,新准则转换ETY!G:G),2)</f>
        <v>0</v>
      </c>
      <c r="H157" s="114">
        <f t="shared" si="27"/>
        <v>0</v>
      </c>
      <c r="I157" s="18" t="s">
        <v>759</v>
      </c>
      <c r="K157" s="18" t="s">
        <v>832</v>
      </c>
      <c r="L157" s="18" t="str">
        <f>_xlfn.IFNA(VLOOKUP(I157,科目余额表!B:M,11,0),K157)</f>
        <v>贷</v>
      </c>
    </row>
    <row r="158" spans="1:12">
      <c r="A158" s="122" t="s">
        <v>1088</v>
      </c>
      <c r="B158" s="112" t="s">
        <v>1089</v>
      </c>
      <c r="C158" s="110"/>
      <c r="D158" s="110"/>
      <c r="E158" s="110">
        <f>上期TB!E160</f>
        <v>0</v>
      </c>
      <c r="F158" s="1">
        <f>ROUND(SUMIF(新准则转换ETY!D:D,B158,新准则转换ETY!F:F),2)</f>
        <v>0</v>
      </c>
      <c r="G158" s="1">
        <f>ROUND(SUMIF(新准则转换ETY!D:D,B158,新准则转换ETY!G:G),2)</f>
        <v>0</v>
      </c>
      <c r="H158" s="114">
        <f t="shared" si="27"/>
        <v>0</v>
      </c>
      <c r="I158" s="18" t="s">
        <v>1090</v>
      </c>
      <c r="K158" s="18" t="s">
        <v>832</v>
      </c>
      <c r="L158" s="18" t="str">
        <f>_xlfn.IFNA(VLOOKUP(I158,科目余额表!B:M,11,0),K158)</f>
        <v>贷</v>
      </c>
    </row>
    <row r="159" spans="1:12">
      <c r="A159" s="122" t="s">
        <v>1091</v>
      </c>
      <c r="B159" s="112" t="s">
        <v>760</v>
      </c>
      <c r="C159" s="110"/>
      <c r="D159" s="110"/>
      <c r="E159" s="113">
        <f>上期TB!E161</f>
        <v>0</v>
      </c>
      <c r="F159" s="1">
        <f>ROUND(SUMIF(新准则转换ETY!D:D,B159,新准则转换ETY!F:F),2)</f>
        <v>0</v>
      </c>
      <c r="G159" s="1">
        <f>ROUND(SUMIF(新准则转换ETY!D:D,B159,新准则转换ETY!G:G),2)</f>
        <v>0</v>
      </c>
      <c r="H159" s="114">
        <f t="shared" si="27"/>
        <v>0</v>
      </c>
      <c r="I159" s="18" t="s">
        <v>760</v>
      </c>
      <c r="K159" s="18" t="s">
        <v>832</v>
      </c>
      <c r="L159" s="18" t="str">
        <f>_xlfn.IFNA(VLOOKUP(I159,科目余额表!B:M,11,0),K159)</f>
        <v>贷</v>
      </c>
    </row>
    <row r="160" spans="1:12">
      <c r="A160" s="122" t="s">
        <v>1092</v>
      </c>
      <c r="B160" s="112" t="s">
        <v>1093</v>
      </c>
      <c r="C160" s="110"/>
      <c r="D160" s="110"/>
      <c r="E160" s="110">
        <f>上期TB!E162</f>
        <v>0</v>
      </c>
      <c r="F160" s="1">
        <f>ROUND(SUMIF(新准则转换ETY!D:D,B160,新准则转换ETY!F:F),2)</f>
        <v>0</v>
      </c>
      <c r="G160" s="1">
        <f>ROUND(SUMIF(新准则转换ETY!D:D,B160,新准则转换ETY!G:G),2)</f>
        <v>0</v>
      </c>
      <c r="H160" s="114">
        <f t="shared" si="27"/>
        <v>0</v>
      </c>
      <c r="I160" s="18" t="s">
        <v>1093</v>
      </c>
      <c r="K160" s="18" t="s">
        <v>832</v>
      </c>
      <c r="L160" s="18" t="str">
        <f>_xlfn.IFNA(VLOOKUP(I160,科目余额表!B:M,11,0),K160)</f>
        <v>贷</v>
      </c>
    </row>
    <row r="161" spans="1:12">
      <c r="A161" s="122" t="s">
        <v>1094</v>
      </c>
      <c r="B161" s="112" t="s">
        <v>70</v>
      </c>
      <c r="C161" s="110"/>
      <c r="D161" s="110"/>
      <c r="E161" s="113">
        <f>上期TB!E163</f>
        <v>0</v>
      </c>
      <c r="F161" s="1">
        <f>ROUND(SUMIF(新准则转换ETY!D:D,B161,新准则转换ETY!F:F),2)</f>
        <v>0</v>
      </c>
      <c r="G161" s="1">
        <f>ROUND(SUMIF(新准则转换ETY!D:D,B161,新准则转换ETY!G:G),2)</f>
        <v>0</v>
      </c>
      <c r="H161" s="114">
        <f t="shared" si="27"/>
        <v>0</v>
      </c>
      <c r="I161" s="18" t="s">
        <v>70</v>
      </c>
      <c r="K161" s="18" t="s">
        <v>832</v>
      </c>
      <c r="L161" s="18" t="str">
        <f>_xlfn.IFNA(VLOOKUP(I161,科目余额表!B:M,11,0),K161)</f>
        <v>贷</v>
      </c>
    </row>
    <row r="162" spans="1:12">
      <c r="A162" s="122" t="s">
        <v>1095</v>
      </c>
      <c r="B162" s="112" t="s">
        <v>1096</v>
      </c>
      <c r="C162" s="110"/>
      <c r="D162" s="110"/>
      <c r="E162" s="110">
        <f>上期TB!E164</f>
        <v>0</v>
      </c>
      <c r="F162" s="1">
        <f>ROUND(SUMIF(新准则转换ETY!D:D,B162,新准则转换ETY!F:F),2)</f>
        <v>0</v>
      </c>
      <c r="G162" s="1">
        <f>ROUND(SUMIF(新准则转换ETY!D:D,B162,新准则转换ETY!G:G),2)</f>
        <v>0</v>
      </c>
      <c r="H162" s="114">
        <f t="shared" si="27"/>
        <v>0</v>
      </c>
      <c r="I162" s="18" t="s">
        <v>1096</v>
      </c>
      <c r="K162" s="18" t="s">
        <v>832</v>
      </c>
      <c r="L162" s="18" t="str">
        <f>_xlfn.IFNA(VLOOKUP(I162,科目余额表!B:M,11,0),K162)</f>
        <v>贷</v>
      </c>
    </row>
    <row r="163" spans="1:12">
      <c r="A163" s="122" t="s">
        <v>1097</v>
      </c>
      <c r="B163" s="112" t="s">
        <v>72</v>
      </c>
      <c r="C163" s="110"/>
      <c r="D163" s="110"/>
      <c r="E163" s="110">
        <f>上期TB!E165</f>
        <v>0</v>
      </c>
      <c r="F163" s="1">
        <f>ROUND(SUMIF(新准则转换ETY!D:D,B163,新准则转换ETY!F:F),2)</f>
        <v>0</v>
      </c>
      <c r="G163" s="1">
        <f>ROUND(SUMIF(新准则转换ETY!D:D,B163,新准则转换ETY!G:G),2)</f>
        <v>0</v>
      </c>
      <c r="H163" s="114">
        <f>H253</f>
        <v>0</v>
      </c>
      <c r="I163" s="18" t="s">
        <v>72</v>
      </c>
      <c r="K163" s="18" t="s">
        <v>832</v>
      </c>
      <c r="L163" s="18" t="str">
        <f>_xlfn.IFNA(VLOOKUP(I163,科目余额表!B:M,11,0),K163)</f>
        <v>贷</v>
      </c>
    </row>
    <row r="164" spans="1:12">
      <c r="A164" s="122" t="s">
        <v>1098</v>
      </c>
      <c r="B164" s="112"/>
      <c r="C164" s="117"/>
      <c r="D164" s="117"/>
      <c r="E164" s="117" t="str">
        <f>上期TB!E166</f>
        <v/>
      </c>
      <c r="F164" s="117" t="str">
        <f t="shared" ref="F164:H164" si="28">IF((SUM(F153:F157,F159:F163)-F158-F155-F156)&lt;&gt;0,(SUM(F153:F157,F159:F163)-F158-F155-F156),"")</f>
        <v/>
      </c>
      <c r="G164" s="117" t="str">
        <f t="shared" si="28"/>
        <v/>
      </c>
      <c r="H164" s="117" t="str">
        <f t="shared" si="28"/>
        <v/>
      </c>
      <c r="L164" s="18">
        <f>_xlfn.IFNA(VLOOKUP(I164,科目余额表!B:M,11,0),K164)</f>
        <v>0</v>
      </c>
    </row>
    <row r="165" spans="1:12">
      <c r="A165" s="122" t="s">
        <v>1099</v>
      </c>
      <c r="B165" s="112" t="s">
        <v>1100</v>
      </c>
      <c r="C165" s="110"/>
      <c r="D165" s="110"/>
      <c r="E165" s="110">
        <f>上期TB!E167</f>
        <v>0</v>
      </c>
      <c r="F165" s="1">
        <f>ROUND(SUMIF(新准则转换ETY!D:D,B165,新准则转换ETY!F:F),2)</f>
        <v>0</v>
      </c>
      <c r="G165" s="1">
        <f>ROUND(SUMIF(新准则转换ETY!D:D,B165,新准则转换ETY!G:G),2)</f>
        <v>0</v>
      </c>
      <c r="H165" s="114">
        <f t="shared" ref="H165" si="29">ROUND(E165-F165+G165,2)</f>
        <v>0</v>
      </c>
      <c r="I165" s="18" t="s">
        <v>1100</v>
      </c>
      <c r="K165" s="18" t="s">
        <v>832</v>
      </c>
      <c r="L165" s="18" t="str">
        <f>_xlfn.IFNA(VLOOKUP(I165,科目余额表!B:M,11,0),K165)</f>
        <v>贷</v>
      </c>
    </row>
    <row r="166" spans="1:12">
      <c r="A166" s="125" t="s">
        <v>1101</v>
      </c>
      <c r="B166" s="112"/>
      <c r="C166" s="118"/>
      <c r="D166" s="118"/>
      <c r="E166" s="118">
        <f>上期TB!E168</f>
        <v>0</v>
      </c>
      <c r="F166" s="118">
        <f t="shared" ref="F166:H166" si="30">SUM(F164:F165)</f>
        <v>0</v>
      </c>
      <c r="G166" s="118">
        <f t="shared" si="30"/>
        <v>0</v>
      </c>
      <c r="H166" s="118">
        <f t="shared" si="30"/>
        <v>0</v>
      </c>
    </row>
    <row r="167" spans="1:12">
      <c r="A167" s="125" t="s">
        <v>1102</v>
      </c>
      <c r="B167" s="112"/>
      <c r="C167" s="118"/>
      <c r="D167" s="118"/>
      <c r="E167" s="118">
        <f>上期TB!E169</f>
        <v>0</v>
      </c>
      <c r="F167" s="118">
        <f t="shared" ref="F167:H167" si="31">SUM(F151,F166)</f>
        <v>0</v>
      </c>
      <c r="G167" s="118">
        <f t="shared" si="31"/>
        <v>0</v>
      </c>
      <c r="H167" s="118">
        <f t="shared" si="31"/>
        <v>0</v>
      </c>
    </row>
    <row r="168" spans="1:12">
      <c r="A168" s="124" t="s">
        <v>1103</v>
      </c>
      <c r="B168" s="112"/>
      <c r="C168" s="2"/>
      <c r="D168" s="2"/>
      <c r="E168" s="126">
        <f>上期TB!E170</f>
        <v>0</v>
      </c>
      <c r="F168" s="126">
        <f t="shared" ref="F168:H168" si="32">SUM(F169:F174)-F170-F171</f>
        <v>0</v>
      </c>
      <c r="G168" s="126">
        <f t="shared" si="32"/>
        <v>0</v>
      </c>
      <c r="H168" s="126">
        <f t="shared" si="32"/>
        <v>0</v>
      </c>
    </row>
    <row r="169" spans="1:12">
      <c r="A169" s="123" t="s">
        <v>1104</v>
      </c>
      <c r="B169" s="112" t="s">
        <v>86</v>
      </c>
      <c r="C169" s="2"/>
      <c r="D169" s="2"/>
      <c r="E169" s="110">
        <f>上期TB!E171</f>
        <v>0</v>
      </c>
      <c r="F169" s="110">
        <f t="shared" ref="F169:G169" si="33">SUM(F170:F171)</f>
        <v>0</v>
      </c>
      <c r="G169" s="110">
        <f t="shared" si="33"/>
        <v>0</v>
      </c>
      <c r="H169" s="114">
        <f t="shared" ref="H169:H174" si="34">ROUND(E169-F169+G169,2)</f>
        <v>0</v>
      </c>
      <c r="I169" s="18" t="s">
        <v>1105</v>
      </c>
    </row>
    <row r="170" spans="1:12">
      <c r="A170" s="123" t="s">
        <v>1106</v>
      </c>
      <c r="B170" s="112" t="s">
        <v>1107</v>
      </c>
      <c r="C170" s="2"/>
      <c r="D170" s="2"/>
      <c r="E170" s="113">
        <f>上期TB!E172</f>
        <v>0</v>
      </c>
      <c r="F170" s="1">
        <f>ROUND(SUMIF(新准则转换ETY!D:D,B170,新准则转换ETY!F:F),2)</f>
        <v>0</v>
      </c>
      <c r="G170" s="1">
        <f>ROUND(SUMIF(新准则转换ETY!D:D,B170,新准则转换ETY!G:G),2)</f>
        <v>0</v>
      </c>
      <c r="H170" s="114">
        <f t="shared" si="34"/>
        <v>0</v>
      </c>
      <c r="I170" s="18" t="s">
        <v>768</v>
      </c>
    </row>
    <row r="171" spans="1:12">
      <c r="A171" s="123" t="s">
        <v>1108</v>
      </c>
      <c r="B171" s="112" t="s">
        <v>1109</v>
      </c>
      <c r="C171" s="2"/>
      <c r="D171" s="2"/>
      <c r="E171" s="113">
        <f>上期TB!E173</f>
        <v>0</v>
      </c>
      <c r="F171" s="1">
        <f>ROUND(SUMIF(新准则转换ETY!D:D,B171,新准则转换ETY!F:F),2)</f>
        <v>0</v>
      </c>
      <c r="G171" s="1">
        <f>ROUND(SUMIF(新准则转换ETY!D:D,B171,新准则转换ETY!G:G),2)</f>
        <v>0</v>
      </c>
      <c r="H171" s="114">
        <f t="shared" si="34"/>
        <v>0</v>
      </c>
      <c r="I171" s="18" t="s">
        <v>769</v>
      </c>
    </row>
    <row r="172" spans="1:12">
      <c r="A172" s="123" t="s">
        <v>1110</v>
      </c>
      <c r="B172" s="112"/>
      <c r="C172" s="2"/>
      <c r="D172" s="2"/>
      <c r="E172" s="110">
        <f>上期TB!E174</f>
        <v>0</v>
      </c>
      <c r="F172" s="1">
        <f>ROUND(SUMIF(新准则转换ETY!D:D,B172,新准则转换ETY!F:F),2)</f>
        <v>0</v>
      </c>
      <c r="G172" s="1">
        <f>ROUND(SUMIF(新准则转换ETY!D:D,B172,新准则转换ETY!G:G),2)</f>
        <v>0</v>
      </c>
      <c r="H172" s="114">
        <f t="shared" si="34"/>
        <v>0</v>
      </c>
    </row>
    <row r="173" spans="1:12">
      <c r="A173" s="123" t="s">
        <v>1111</v>
      </c>
      <c r="B173" s="112" t="s">
        <v>1112</v>
      </c>
      <c r="C173" s="2"/>
      <c r="E173" s="110">
        <f>上期TB!E175</f>
        <v>0</v>
      </c>
      <c r="F173" s="1">
        <f>ROUND(SUMIF(新准则转换ETY!D:D,B173,新准则转换ETY!F:F),2)</f>
        <v>0</v>
      </c>
      <c r="G173" s="1">
        <f>ROUND(SUMIF(新准则转换ETY!D:D,B173,新准则转换ETY!G:G),2)</f>
        <v>0</v>
      </c>
      <c r="H173" s="114">
        <f t="shared" si="34"/>
        <v>0</v>
      </c>
      <c r="I173" s="18" t="s">
        <v>1112</v>
      </c>
    </row>
    <row r="174" spans="1:12">
      <c r="A174" s="123" t="s">
        <v>1113</v>
      </c>
      <c r="B174" s="112" t="s">
        <v>1114</v>
      </c>
      <c r="C174" s="2"/>
      <c r="E174" s="110">
        <f>上期TB!E176</f>
        <v>0</v>
      </c>
      <c r="F174" s="1">
        <f>ROUND(SUMIF(新准则转换ETY!D:D,B174,新准则转换ETY!F:F),2)</f>
        <v>0</v>
      </c>
      <c r="G174" s="1">
        <f>ROUND(SUMIF(新准则转换ETY!D:D,B174,新准则转换ETY!G:G),2)</f>
        <v>0</v>
      </c>
      <c r="H174" s="114">
        <f t="shared" si="34"/>
        <v>0</v>
      </c>
      <c r="I174" s="18" t="s">
        <v>1114</v>
      </c>
    </row>
    <row r="175" spans="1:12">
      <c r="A175" s="124" t="s">
        <v>1115</v>
      </c>
      <c r="B175" s="112"/>
      <c r="C175" s="2"/>
      <c r="D175" s="126"/>
      <c r="E175" s="126">
        <f>上期TB!E177</f>
        <v>0</v>
      </c>
      <c r="F175" s="126">
        <f t="shared" ref="F175:H175" si="35">SUM(F176:F190)-F177-F178</f>
        <v>0</v>
      </c>
      <c r="G175" s="126">
        <f t="shared" si="35"/>
        <v>0</v>
      </c>
      <c r="H175" s="126">
        <f t="shared" si="35"/>
        <v>0</v>
      </c>
    </row>
    <row r="176" spans="1:12">
      <c r="A176" s="122" t="s">
        <v>1116</v>
      </c>
      <c r="B176" s="112" t="s">
        <v>1117</v>
      </c>
      <c r="C176" s="3"/>
      <c r="E176" s="110">
        <f>上期TB!E178</f>
        <v>0</v>
      </c>
      <c r="F176" s="110">
        <f t="shared" ref="F176:H176" si="36">SUM(F177:F178)</f>
        <v>0</v>
      </c>
      <c r="G176" s="110">
        <f t="shared" si="36"/>
        <v>0</v>
      </c>
      <c r="H176" s="110">
        <f t="shared" si="36"/>
        <v>0</v>
      </c>
      <c r="I176" s="18" t="s">
        <v>1118</v>
      </c>
    </row>
    <row r="177" spans="1:9">
      <c r="A177" s="122" t="s">
        <v>1119</v>
      </c>
      <c r="B177" s="112" t="s">
        <v>1120</v>
      </c>
      <c r="C177" s="3"/>
      <c r="E177" s="113">
        <f>上期TB!E179</f>
        <v>0</v>
      </c>
      <c r="F177" s="1">
        <f>ROUND(SUMIF(新准则转换ETY!D:D,B177,新准则转换ETY!F:F),2)</f>
        <v>0</v>
      </c>
      <c r="G177" s="1">
        <f>ROUND(SUMIF(新准则转换ETY!D:D,B177,新准则转换ETY!G:G),2)</f>
        <v>0</v>
      </c>
      <c r="H177" s="114">
        <f t="shared" ref="H177:H190" si="37">ROUND(E177+F177-G177,2)</f>
        <v>0</v>
      </c>
      <c r="I177" s="18" t="s">
        <v>773</v>
      </c>
    </row>
    <row r="178" spans="1:9">
      <c r="A178" s="122" t="s">
        <v>1121</v>
      </c>
      <c r="B178" s="112" t="s">
        <v>1122</v>
      </c>
      <c r="C178" s="3"/>
      <c r="E178" s="113">
        <f>上期TB!E180</f>
        <v>0</v>
      </c>
      <c r="F178" s="1">
        <f>ROUND(SUMIF(新准则转换ETY!D:D,B178,新准则转换ETY!F:F),2)</f>
        <v>0</v>
      </c>
      <c r="G178" s="1">
        <f>ROUND(SUMIF(新准则转换ETY!D:D,B178,新准则转换ETY!G:G),2)</f>
        <v>0</v>
      </c>
      <c r="H178" s="114">
        <f t="shared" si="37"/>
        <v>0</v>
      </c>
      <c r="I178" s="18" t="s">
        <v>774</v>
      </c>
    </row>
    <row r="179" spans="1:9">
      <c r="A179" s="122" t="s">
        <v>1123</v>
      </c>
      <c r="B179" s="112"/>
      <c r="C179" s="3"/>
      <c r="E179" s="110">
        <f>上期TB!E181</f>
        <v>0</v>
      </c>
      <c r="F179" s="1">
        <f>ROUND(SUMIF(新准则转换ETY!D:D,B179,新准则转换ETY!F:F),2)</f>
        <v>0</v>
      </c>
      <c r="G179" s="1">
        <f>ROUND(SUMIF(新准则转换ETY!D:D,B179,新准则转换ETY!G:G),2)</f>
        <v>0</v>
      </c>
      <c r="H179" s="114">
        <f t="shared" si="37"/>
        <v>0</v>
      </c>
    </row>
    <row r="180" spans="1:9">
      <c r="A180" s="122" t="s">
        <v>1124</v>
      </c>
      <c r="B180" s="112" t="s">
        <v>1125</v>
      </c>
      <c r="C180" s="3"/>
      <c r="D180" s="3"/>
      <c r="E180" s="110">
        <f>上期TB!E182</f>
        <v>0</v>
      </c>
      <c r="F180" s="1">
        <f>ROUND(SUMIF(新准则转换ETY!D:D,B180,新准则转换ETY!F:F),2)</f>
        <v>0</v>
      </c>
      <c r="G180" s="1">
        <f>ROUND(SUMIF(新准则转换ETY!D:D,B180,新准则转换ETY!G:G),2)</f>
        <v>0</v>
      </c>
      <c r="H180" s="114">
        <f t="shared" si="37"/>
        <v>0</v>
      </c>
      <c r="I180" s="18" t="s">
        <v>1125</v>
      </c>
    </row>
    <row r="181" spans="1:9">
      <c r="A181" s="122" t="s">
        <v>1126</v>
      </c>
      <c r="B181" s="112" t="s">
        <v>1127</v>
      </c>
      <c r="C181" s="3"/>
      <c r="D181" s="3"/>
      <c r="E181" s="110">
        <f>上期TB!E183</f>
        <v>0</v>
      </c>
      <c r="F181" s="1">
        <f>ROUND(SUMIF(新准则转换ETY!D:D,B181,新准则转换ETY!F:F),2)</f>
        <v>0</v>
      </c>
      <c r="G181" s="1">
        <f>ROUND(SUMIF(新准则转换ETY!D:D,B181,新准则转换ETY!G:G),2)</f>
        <v>0</v>
      </c>
      <c r="H181" s="114">
        <f t="shared" si="37"/>
        <v>0</v>
      </c>
      <c r="I181" s="18" t="s">
        <v>1127</v>
      </c>
    </row>
    <row r="182" spans="1:9">
      <c r="A182" s="122" t="s">
        <v>1128</v>
      </c>
      <c r="B182" s="112" t="s">
        <v>1129</v>
      </c>
      <c r="C182" s="3"/>
      <c r="D182" s="3"/>
      <c r="E182" s="110">
        <f>上期TB!E184</f>
        <v>0</v>
      </c>
      <c r="F182" s="1">
        <f>ROUND(SUMIF(新准则转换ETY!D:D,B182,新准则转换ETY!F:F),2)</f>
        <v>0</v>
      </c>
      <c r="G182" s="1">
        <f>ROUND(SUMIF(新准则转换ETY!D:D,B182,新准则转换ETY!G:G),2)</f>
        <v>0</v>
      </c>
      <c r="H182" s="114">
        <f t="shared" si="37"/>
        <v>0</v>
      </c>
      <c r="I182" s="18" t="s">
        <v>1129</v>
      </c>
    </row>
    <row r="183" spans="1:9">
      <c r="A183" s="122" t="s">
        <v>1130</v>
      </c>
      <c r="B183" s="112" t="s">
        <v>1131</v>
      </c>
      <c r="C183" s="3"/>
      <c r="D183" s="3"/>
      <c r="E183" s="110">
        <f>上期TB!E185</f>
        <v>0</v>
      </c>
      <c r="F183" s="1">
        <f>ROUND(SUMIF(新准则转换ETY!D:D,B183,新准则转换ETY!F:F),2)</f>
        <v>0</v>
      </c>
      <c r="G183" s="1">
        <f>ROUND(SUMIF(新准则转换ETY!D:D,B183,新准则转换ETY!G:G),2)</f>
        <v>0</v>
      </c>
      <c r="H183" s="114">
        <f t="shared" si="37"/>
        <v>0</v>
      </c>
      <c r="I183" s="18" t="s">
        <v>1131</v>
      </c>
    </row>
    <row r="184" spans="1:9">
      <c r="A184" s="122" t="s">
        <v>1132</v>
      </c>
      <c r="B184" s="112" t="s">
        <v>1133</v>
      </c>
      <c r="C184" s="3"/>
      <c r="D184" s="3"/>
      <c r="E184" s="110">
        <f>上期TB!E186</f>
        <v>0</v>
      </c>
      <c r="F184" s="1">
        <f>ROUND(SUMIF(新准则转换ETY!D:D,B184,新准则转换ETY!F:F),2)</f>
        <v>0</v>
      </c>
      <c r="G184" s="1">
        <f>ROUND(SUMIF(新准则转换ETY!D:D,B184,新准则转换ETY!G:G),2)</f>
        <v>0</v>
      </c>
      <c r="H184" s="114">
        <f t="shared" si="37"/>
        <v>0</v>
      </c>
      <c r="I184" s="18" t="s">
        <v>1133</v>
      </c>
    </row>
    <row r="185" spans="1:9">
      <c r="A185" s="122" t="s">
        <v>1134</v>
      </c>
      <c r="B185" s="112" t="s">
        <v>1135</v>
      </c>
      <c r="C185" s="3"/>
      <c r="D185" s="3"/>
      <c r="E185" s="110">
        <f>上期TB!E187</f>
        <v>0</v>
      </c>
      <c r="F185" s="1">
        <f>ROUND(SUMIF(新准则转换ETY!D:D,B185,新准则转换ETY!F:F),2)</f>
        <v>0</v>
      </c>
      <c r="G185" s="1">
        <f>ROUND(SUMIF(新准则转换ETY!D:D,B185,新准则转换ETY!G:G),2)</f>
        <v>0</v>
      </c>
      <c r="H185" s="114">
        <f t="shared" si="37"/>
        <v>0</v>
      </c>
      <c r="I185" s="18" t="s">
        <v>1135</v>
      </c>
    </row>
    <row r="186" spans="1:9">
      <c r="A186" s="122" t="s">
        <v>1136</v>
      </c>
      <c r="B186" s="112" t="s">
        <v>1137</v>
      </c>
      <c r="C186" s="4"/>
      <c r="D186" s="4"/>
      <c r="E186" s="113">
        <f>上期TB!E188</f>
        <v>0</v>
      </c>
      <c r="F186" s="1">
        <f>ROUND(SUMIF(新准则转换ETY!D:D,B186,新准则转换ETY!F:F),2)</f>
        <v>0</v>
      </c>
      <c r="G186" s="1">
        <f>ROUND(SUMIF(新准则转换ETY!D:D,B186,新准则转换ETY!G:G),2)</f>
        <v>0</v>
      </c>
      <c r="H186" s="114">
        <f t="shared" si="37"/>
        <v>0</v>
      </c>
      <c r="I186" s="18" t="s">
        <v>775</v>
      </c>
    </row>
    <row r="187" spans="1:9">
      <c r="A187" s="122" t="s">
        <v>1138</v>
      </c>
      <c r="B187" s="112" t="s">
        <v>776</v>
      </c>
      <c r="C187" s="4"/>
      <c r="D187" s="4"/>
      <c r="E187" s="110">
        <f>上期TB!E189</f>
        <v>0</v>
      </c>
      <c r="F187" s="1">
        <f>ROUND(SUMIF(新准则转换ETY!D:D,B187,新准则转换ETY!F:F),2)</f>
        <v>0</v>
      </c>
      <c r="G187" s="1">
        <f>ROUND(SUMIF(新准则转换ETY!D:D,B187,新准则转换ETY!G:G),2)</f>
        <v>0</v>
      </c>
      <c r="H187" s="114">
        <f t="shared" si="37"/>
        <v>0</v>
      </c>
      <c r="I187" s="18" t="s">
        <v>776</v>
      </c>
    </row>
    <row r="188" spans="1:9">
      <c r="A188" s="122" t="s">
        <v>1139</v>
      </c>
      <c r="B188" s="112" t="s">
        <v>777</v>
      </c>
      <c r="C188" s="4"/>
      <c r="D188" s="4"/>
      <c r="E188" s="113">
        <f>上期TB!E190</f>
        <v>0</v>
      </c>
      <c r="F188" s="1">
        <f>ROUND(SUMIF(新准则转换ETY!D:D,B188,新准则转换ETY!F:F),2)</f>
        <v>0</v>
      </c>
      <c r="G188" s="1">
        <f>ROUND(SUMIF(新准则转换ETY!D:D,B188,新准则转换ETY!G:G),2)</f>
        <v>0</v>
      </c>
      <c r="H188" s="114">
        <f t="shared" si="37"/>
        <v>0</v>
      </c>
      <c r="I188" s="18" t="s">
        <v>777</v>
      </c>
    </row>
    <row r="189" spans="1:9">
      <c r="A189" s="122" t="s">
        <v>1140</v>
      </c>
      <c r="B189" s="112" t="s">
        <v>1141</v>
      </c>
      <c r="C189" s="4"/>
      <c r="D189" s="4"/>
      <c r="E189" s="110">
        <f>上期TB!E191</f>
        <v>0</v>
      </c>
      <c r="F189" s="1">
        <f>ROUND(SUMIF(新准则转换ETY!D:D,B189,新准则转换ETY!F:F),2)</f>
        <v>0</v>
      </c>
      <c r="G189" s="1">
        <f>ROUND(SUMIF(新准则转换ETY!D:D,B189,新准则转换ETY!G:G),2)</f>
        <v>0</v>
      </c>
      <c r="H189" s="114">
        <f t="shared" si="37"/>
        <v>0</v>
      </c>
      <c r="I189" s="18" t="s">
        <v>1141</v>
      </c>
    </row>
    <row r="190" spans="1:9">
      <c r="A190" s="122" t="s">
        <v>1142</v>
      </c>
      <c r="B190" s="112" t="s">
        <v>778</v>
      </c>
      <c r="C190" s="127"/>
      <c r="D190" s="127"/>
      <c r="E190" s="113">
        <f>上期TB!E192</f>
        <v>0</v>
      </c>
      <c r="F190" s="1">
        <f>ROUND(SUMIF(新准则转换ETY!D:D,B190,新准则转换ETY!F:F),2)</f>
        <v>0</v>
      </c>
      <c r="G190" s="1">
        <f>ROUND(SUMIF(新准则转换ETY!D:D,B190,新准则转换ETY!G:G),2)</f>
        <v>0</v>
      </c>
      <c r="H190" s="114">
        <f t="shared" si="37"/>
        <v>0</v>
      </c>
      <c r="I190" s="18" t="s">
        <v>778</v>
      </c>
    </row>
    <row r="191" spans="1:9">
      <c r="A191" s="122" t="s">
        <v>1143</v>
      </c>
      <c r="B191" s="112" t="s">
        <v>1144</v>
      </c>
      <c r="C191" s="127"/>
      <c r="D191" s="127"/>
      <c r="E191" s="113">
        <f>上期TB!E193</f>
        <v>0</v>
      </c>
      <c r="F191" s="1">
        <f>ROUND(SUMIF(新准则转换ETY!D:D,B191,新准则转换ETY!F:F),2)</f>
        <v>0</v>
      </c>
      <c r="G191" s="1">
        <f>ROUND(SUMIF(新准则转换ETY!D:D,B191,新准则转换ETY!G:G),2)</f>
        <v>0</v>
      </c>
      <c r="H191" s="114">
        <f t="shared" ref="H191:H202" si="38">ROUND(E191-F191+G191,2)</f>
        <v>0</v>
      </c>
      <c r="I191" s="18" t="s">
        <v>770</v>
      </c>
    </row>
    <row r="192" spans="1:9">
      <c r="A192" s="122" t="s">
        <v>1145</v>
      </c>
      <c r="B192" s="112" t="s">
        <v>1146</v>
      </c>
      <c r="C192" s="127"/>
      <c r="D192" s="127"/>
      <c r="E192" s="113">
        <f>上期TB!E194</f>
        <v>0</v>
      </c>
      <c r="F192" s="1">
        <f>ROUND(SUMIF(新准则转换ETY!D:D,B192,新准则转换ETY!F:F),2)</f>
        <v>0</v>
      </c>
      <c r="G192" s="1">
        <f>ROUND(SUMIF(新准则转换ETY!D:D,B192,新准则转换ETY!G:G),2)</f>
        <v>0</v>
      </c>
      <c r="H192" s="114">
        <f t="shared" si="38"/>
        <v>0</v>
      </c>
      <c r="I192" s="18" t="s">
        <v>771</v>
      </c>
    </row>
    <row r="193" spans="1:9">
      <c r="A193" s="122" t="s">
        <v>1147</v>
      </c>
      <c r="B193" s="112"/>
      <c r="C193" s="127"/>
      <c r="D193" s="127"/>
      <c r="E193" s="126">
        <f>上期TB!E195</f>
        <v>0</v>
      </c>
      <c r="H193" s="114">
        <f t="shared" si="38"/>
        <v>0</v>
      </c>
    </row>
    <row r="194" spans="1:9">
      <c r="A194" s="122" t="s">
        <v>1148</v>
      </c>
      <c r="B194" s="112"/>
      <c r="C194" s="127"/>
      <c r="D194" s="128" t="s">
        <v>823</v>
      </c>
      <c r="E194" s="126">
        <f>上期TB!E196</f>
        <v>0</v>
      </c>
      <c r="H194" s="114">
        <f t="shared" si="38"/>
        <v>0</v>
      </c>
    </row>
    <row r="195" spans="1:9">
      <c r="A195" s="122" t="s">
        <v>1149</v>
      </c>
      <c r="B195" s="112" t="s">
        <v>1150</v>
      </c>
      <c r="C195" s="127"/>
      <c r="D195" s="128" t="s">
        <v>823</v>
      </c>
      <c r="E195" s="110">
        <f>上期TB!E197</f>
        <v>0</v>
      </c>
      <c r="F195" s="1">
        <f>ROUND(SUMIF(新准则转换ETY!D:D,B195,新准则转换ETY!F:F),2)</f>
        <v>0</v>
      </c>
      <c r="G195" s="1">
        <f>ROUND(SUMIF(新准则转换ETY!D:D,B195,新准则转换ETY!G:G),2)</f>
        <v>0</v>
      </c>
      <c r="H195" s="114">
        <f t="shared" si="38"/>
        <v>0</v>
      </c>
      <c r="I195" s="18" t="s">
        <v>1151</v>
      </c>
    </row>
    <row r="196" spans="1:9">
      <c r="A196" s="122" t="s">
        <v>1152</v>
      </c>
      <c r="B196" s="112" t="s">
        <v>1153</v>
      </c>
      <c r="C196" s="127"/>
      <c r="D196" s="127"/>
      <c r="E196" s="110">
        <f>上期TB!E198</f>
        <v>0</v>
      </c>
      <c r="F196" s="1">
        <f>ROUND(SUMIF(新准则转换ETY!D:D,B196,新准则转换ETY!F:F),2)</f>
        <v>0</v>
      </c>
      <c r="G196" s="1">
        <f>ROUND(SUMIF(新准则转换ETY!D:D,B196,新准则转换ETY!G:G),2)</f>
        <v>0</v>
      </c>
      <c r="H196" s="114">
        <f t="shared" si="38"/>
        <v>0</v>
      </c>
      <c r="I196" s="18" t="s">
        <v>1154</v>
      </c>
    </row>
    <row r="197" spans="1:9">
      <c r="A197" s="122" t="s">
        <v>1155</v>
      </c>
      <c r="B197" s="112" t="s">
        <v>1156</v>
      </c>
      <c r="C197" s="127"/>
      <c r="D197" s="128" t="s">
        <v>823</v>
      </c>
      <c r="E197" s="110">
        <f>上期TB!E199</f>
        <v>0</v>
      </c>
      <c r="F197" s="1">
        <f>ROUND(SUMIF(新准则转换ETY!D:D,B197,新准则转换ETY!F:F),2)</f>
        <v>0</v>
      </c>
      <c r="G197" s="1">
        <f>ROUND(SUMIF(新准则转换ETY!D:D,B197,新准则转换ETY!G:G),2)</f>
        <v>0</v>
      </c>
      <c r="H197" s="114">
        <f t="shared" si="38"/>
        <v>0</v>
      </c>
      <c r="I197" s="18" t="s">
        <v>1157</v>
      </c>
    </row>
    <row r="198" spans="1:9">
      <c r="A198" s="122" t="s">
        <v>1158</v>
      </c>
      <c r="B198" s="112" t="s">
        <v>1159</v>
      </c>
      <c r="C198" s="127"/>
      <c r="D198" s="127"/>
      <c r="E198" s="113">
        <f>上期TB!E200</f>
        <v>0</v>
      </c>
      <c r="F198" s="1">
        <f>ROUND(SUMIF(新准则转换ETY!D:D,B198,新准则转换ETY!F:F),2)</f>
        <v>0</v>
      </c>
      <c r="G198" s="1">
        <f>ROUND(SUMIF(新准则转换ETY!D:D,B198,新准则转换ETY!G:G),2)</f>
        <v>0</v>
      </c>
      <c r="H198" s="114">
        <f t="shared" si="38"/>
        <v>0</v>
      </c>
      <c r="I198" s="18" t="s">
        <v>779</v>
      </c>
    </row>
    <row r="199" spans="1:9">
      <c r="A199" s="122" t="s">
        <v>1160</v>
      </c>
      <c r="B199" s="112" t="s">
        <v>1161</v>
      </c>
      <c r="C199" s="127"/>
      <c r="D199" s="127"/>
      <c r="E199" s="113">
        <f>上期TB!E201</f>
        <v>0</v>
      </c>
      <c r="F199" s="1">
        <f>ROUND(SUMIF(新准则转换ETY!D:D,B199,新准则转换ETY!F:F),2)</f>
        <v>0</v>
      </c>
      <c r="G199" s="1">
        <f>ROUND(SUMIF(新准则转换ETY!D:D,B199,新准则转换ETY!G:G),2)</f>
        <v>0</v>
      </c>
      <c r="H199" s="114">
        <f t="shared" si="38"/>
        <v>0</v>
      </c>
      <c r="I199" s="18" t="s">
        <v>780</v>
      </c>
    </row>
    <row r="200" spans="1:9">
      <c r="A200" s="122" t="s">
        <v>1162</v>
      </c>
      <c r="B200" s="112" t="s">
        <v>1163</v>
      </c>
      <c r="C200" s="127"/>
      <c r="D200" s="127"/>
      <c r="E200" s="110">
        <f>上期TB!E202</f>
        <v>0</v>
      </c>
      <c r="F200" s="1">
        <f>ROUND(SUMIF(新准则转换ETY!D:D,B200,新准则转换ETY!F:F),2)</f>
        <v>0</v>
      </c>
      <c r="G200" s="1">
        <f>ROUND(SUMIF(新准则转换ETY!D:D,B200,新准则转换ETY!G:G),2)</f>
        <v>0</v>
      </c>
      <c r="H200" s="114">
        <f t="shared" si="38"/>
        <v>0</v>
      </c>
      <c r="I200" s="18" t="s">
        <v>1164</v>
      </c>
    </row>
    <row r="201" spans="1:9">
      <c r="A201" s="121" t="s">
        <v>1165</v>
      </c>
      <c r="B201" s="112"/>
      <c r="C201" s="127"/>
      <c r="D201" s="127"/>
      <c r="E201" s="127">
        <f>上期TB!E203</f>
        <v>0</v>
      </c>
      <c r="F201" s="127">
        <f>F168-F175+F191+F192+F200+F195+F196+F199+F197+F198</f>
        <v>0</v>
      </c>
      <c r="G201" s="127">
        <f>G168-G175+G191+G192+G200+G195+G196+G199+G197+G198</f>
        <v>0</v>
      </c>
      <c r="H201" s="127">
        <f>H168-H175+H191+H192+H200+H195+H196+H199+H197+H198</f>
        <v>0</v>
      </c>
    </row>
    <row r="202" spans="1:9">
      <c r="A202" s="122" t="s">
        <v>1166</v>
      </c>
      <c r="B202" s="112" t="s">
        <v>1167</v>
      </c>
      <c r="C202" s="127"/>
      <c r="D202" s="127"/>
      <c r="E202" s="113">
        <f>上期TB!E204</f>
        <v>0</v>
      </c>
      <c r="F202" s="1">
        <f>ROUND(SUMIF(新准则转换ETY!D:D,B202,新准则转换ETY!F:F),2)</f>
        <v>0</v>
      </c>
      <c r="G202" s="1">
        <f>ROUND(SUMIF(新准则转换ETY!D:D,B202,新准则转换ETY!G:G),2)</f>
        <v>0</v>
      </c>
      <c r="H202" s="114">
        <f t="shared" si="38"/>
        <v>0</v>
      </c>
      <c r="I202" s="18" t="s">
        <v>772</v>
      </c>
    </row>
    <row r="203" spans="1:9">
      <c r="A203" s="122" t="s">
        <v>1168</v>
      </c>
      <c r="B203" s="112" t="s">
        <v>1169</v>
      </c>
      <c r="C203" s="127"/>
      <c r="D203" s="127"/>
      <c r="E203" s="113">
        <f>上期TB!E205</f>
        <v>0</v>
      </c>
      <c r="F203" s="1">
        <f>ROUND(SUMIF(新准则转换ETY!D:D,B203,新准则转换ETY!F:F),2)</f>
        <v>0</v>
      </c>
      <c r="G203" s="1">
        <f>ROUND(SUMIF(新准则转换ETY!D:D,B203,新准则转换ETY!G:G),2)</f>
        <v>0</v>
      </c>
      <c r="H203" s="114">
        <f t="shared" ref="H203" si="39">ROUND(E203+F203-G203,2)</f>
        <v>0</v>
      </c>
      <c r="I203" s="18" t="s">
        <v>781</v>
      </c>
    </row>
    <row r="204" spans="1:9">
      <c r="A204" s="121" t="s">
        <v>1170</v>
      </c>
      <c r="B204" s="112"/>
      <c r="C204" s="127"/>
      <c r="D204" s="127"/>
      <c r="E204" s="127">
        <f>上期TB!E206</f>
        <v>0</v>
      </c>
      <c r="F204" s="127">
        <f t="shared" ref="F204:H204" si="40">F201+F202-F203</f>
        <v>0</v>
      </c>
      <c r="G204" s="127">
        <f t="shared" si="40"/>
        <v>0</v>
      </c>
      <c r="H204" s="127">
        <f t="shared" si="40"/>
        <v>0</v>
      </c>
    </row>
    <row r="205" spans="1:9">
      <c r="A205" s="122" t="s">
        <v>1171</v>
      </c>
      <c r="B205" s="112" t="s">
        <v>87</v>
      </c>
      <c r="C205" s="127"/>
      <c r="D205" s="127"/>
      <c r="E205" s="113">
        <f>上期TB!E207</f>
        <v>0</v>
      </c>
      <c r="F205" s="1">
        <f>ROUND(SUMIF(新准则转换ETY!D:D,B205,新准则转换ETY!F:F),2)</f>
        <v>0</v>
      </c>
      <c r="G205" s="1">
        <f>ROUND(SUMIF(新准则转换ETY!D:D,B205,新准则转换ETY!G:G),2)</f>
        <v>0</v>
      </c>
      <c r="H205" s="114">
        <f t="shared" ref="H205" si="41">ROUND(E205+F205-G205,2)</f>
        <v>0</v>
      </c>
      <c r="I205" s="18" t="s">
        <v>698</v>
      </c>
    </row>
    <row r="206" spans="1:9">
      <c r="A206" s="121" t="s">
        <v>1172</v>
      </c>
      <c r="B206" s="112"/>
      <c r="C206" s="129"/>
      <c r="D206" s="129"/>
      <c r="E206" s="129">
        <f>上期TB!E208</f>
        <v>0</v>
      </c>
      <c r="F206" s="129">
        <f t="shared" ref="F206:H206" si="42">F204-F205</f>
        <v>0</v>
      </c>
      <c r="G206" s="129">
        <f t="shared" si="42"/>
        <v>0</v>
      </c>
      <c r="H206" s="129">
        <f t="shared" si="42"/>
        <v>0</v>
      </c>
    </row>
    <row r="207" spans="1:9">
      <c r="A207" s="123" t="s">
        <v>1173</v>
      </c>
      <c r="B207" s="112"/>
      <c r="C207" s="127"/>
      <c r="D207" s="127"/>
      <c r="E207" s="126">
        <f>上期TB!E209</f>
        <v>0</v>
      </c>
    </row>
    <row r="208" spans="1:9">
      <c r="A208" s="122" t="s">
        <v>1174</v>
      </c>
      <c r="B208" s="112"/>
      <c r="C208" s="127"/>
      <c r="D208" s="127"/>
      <c r="E208" s="126">
        <f>上期TB!E210</f>
        <v>0</v>
      </c>
    </row>
    <row r="209" spans="1:9">
      <c r="A209" s="122" t="s">
        <v>1175</v>
      </c>
      <c r="B209" s="112"/>
      <c r="C209" s="127"/>
      <c r="D209" s="127"/>
      <c r="E209" s="126">
        <f>上期TB!E211</f>
        <v>0</v>
      </c>
    </row>
    <row r="210" spans="1:9">
      <c r="A210" s="123" t="s">
        <v>1176</v>
      </c>
      <c r="B210" s="112"/>
      <c r="C210" s="127"/>
      <c r="D210" s="127"/>
      <c r="E210" s="126">
        <f>上期TB!E212</f>
        <v>0</v>
      </c>
    </row>
    <row r="211" spans="1:9">
      <c r="A211" s="122" t="s">
        <v>1177</v>
      </c>
      <c r="B211" s="112" t="s">
        <v>1178</v>
      </c>
      <c r="C211" s="127"/>
      <c r="D211" s="127"/>
      <c r="E211" s="126">
        <f>上期TB!E213</f>
        <v>0</v>
      </c>
      <c r="F211" s="1">
        <f>ROUND(SUMIF(新准则转换ETY!D:D,B211,新准则转换ETY!F:F),2)</f>
        <v>0</v>
      </c>
      <c r="G211" s="1">
        <f>ROUND(SUMIF(新准则转换ETY!D:D,B211,新准则转换ETY!G:G),2)</f>
        <v>0</v>
      </c>
      <c r="H211" s="1">
        <f>H206-H212</f>
        <v>0</v>
      </c>
      <c r="I211" s="18" t="s">
        <v>1178</v>
      </c>
    </row>
    <row r="212" spans="1:9">
      <c r="A212" s="122" t="s">
        <v>1179</v>
      </c>
      <c r="B212" s="112" t="s">
        <v>1180</v>
      </c>
      <c r="C212" s="127"/>
      <c r="D212" s="127"/>
      <c r="E212" s="127">
        <f>上期TB!E214</f>
        <v>0</v>
      </c>
      <c r="F212" s="127">
        <f t="shared" ref="F212:G212" si="43">F206-F211</f>
        <v>0</v>
      </c>
      <c r="G212" s="127">
        <f t="shared" si="43"/>
        <v>0</v>
      </c>
      <c r="H212" s="114">
        <f t="shared" ref="H212" si="44">ROUND(E212+F212-G212,2)</f>
        <v>0</v>
      </c>
      <c r="I212" s="18" t="s">
        <v>1180</v>
      </c>
    </row>
    <row r="213" spans="1:9">
      <c r="A213" s="124" t="s">
        <v>1181</v>
      </c>
      <c r="B213" s="112"/>
      <c r="C213" s="129"/>
      <c r="D213" s="129"/>
      <c r="E213" s="129">
        <f>上期TB!E215</f>
        <v>0</v>
      </c>
      <c r="F213" s="129">
        <f t="shared" ref="F213:H213" si="45">F214+F231</f>
        <v>0</v>
      </c>
      <c r="G213" s="129">
        <f t="shared" si="45"/>
        <v>0</v>
      </c>
      <c r="H213" s="129">
        <f t="shared" si="45"/>
        <v>0</v>
      </c>
    </row>
    <row r="214" spans="1:9">
      <c r="A214" s="123" t="s">
        <v>1182</v>
      </c>
      <c r="B214" s="112"/>
      <c r="C214" s="127"/>
      <c r="D214" s="127"/>
      <c r="E214" s="127">
        <f>上期TB!E216</f>
        <v>0</v>
      </c>
      <c r="F214" s="127">
        <f t="shared" ref="F214:H214" si="46">F215+F221</f>
        <v>0</v>
      </c>
      <c r="G214" s="127">
        <f t="shared" si="46"/>
        <v>0</v>
      </c>
      <c r="H214" s="127">
        <f t="shared" si="46"/>
        <v>0</v>
      </c>
    </row>
    <row r="215" spans="1:9">
      <c r="A215" s="123" t="s">
        <v>1183</v>
      </c>
      <c r="B215" s="112"/>
      <c r="C215" s="127"/>
      <c r="D215" s="127"/>
      <c r="E215" s="127">
        <f>上期TB!E217</f>
        <v>0</v>
      </c>
      <c r="F215" s="127">
        <f t="shared" ref="F215:H215" si="47">F216+F217+F218+F219+F220</f>
        <v>0</v>
      </c>
      <c r="G215" s="127">
        <f t="shared" si="47"/>
        <v>0</v>
      </c>
      <c r="H215" s="127">
        <f t="shared" si="47"/>
        <v>0</v>
      </c>
    </row>
    <row r="216" spans="1:9">
      <c r="A216" s="123" t="s">
        <v>1184</v>
      </c>
      <c r="B216" s="112"/>
      <c r="C216" s="127"/>
      <c r="D216" s="127"/>
      <c r="E216" s="126">
        <f>上期TB!E218</f>
        <v>0</v>
      </c>
      <c r="H216" s="114">
        <f t="shared" ref="H216:H220" si="48">ROUND(E216+F216-G216,2)</f>
        <v>0</v>
      </c>
    </row>
    <row r="217" spans="1:9">
      <c r="A217" s="123" t="s">
        <v>1185</v>
      </c>
      <c r="B217" s="112"/>
      <c r="C217" s="127"/>
      <c r="D217" s="127"/>
      <c r="E217" s="126">
        <f>上期TB!E219</f>
        <v>0</v>
      </c>
      <c r="H217" s="114">
        <f t="shared" si="48"/>
        <v>0</v>
      </c>
    </row>
    <row r="218" spans="1:9">
      <c r="A218" s="123" t="s">
        <v>1186</v>
      </c>
      <c r="B218" s="112"/>
      <c r="C218" s="127"/>
      <c r="D218" s="127"/>
      <c r="E218" s="126">
        <f>上期TB!E220</f>
        <v>0</v>
      </c>
      <c r="H218" s="114">
        <f t="shared" si="48"/>
        <v>0</v>
      </c>
    </row>
    <row r="219" spans="1:9">
      <c r="A219" s="123" t="s">
        <v>1187</v>
      </c>
      <c r="B219" s="112"/>
      <c r="C219" s="127"/>
      <c r="D219" s="127"/>
      <c r="E219" s="126">
        <f>上期TB!E221</f>
        <v>0</v>
      </c>
      <c r="H219" s="114">
        <f t="shared" si="48"/>
        <v>0</v>
      </c>
    </row>
    <row r="220" spans="1:9">
      <c r="A220" s="123" t="s">
        <v>1188</v>
      </c>
      <c r="B220" s="112"/>
      <c r="C220" s="127"/>
      <c r="D220" s="127"/>
      <c r="E220" s="126">
        <f>上期TB!E222</f>
        <v>0</v>
      </c>
      <c r="H220" s="114">
        <f t="shared" si="48"/>
        <v>0</v>
      </c>
    </row>
    <row r="221" spans="1:9">
      <c r="A221" s="123" t="s">
        <v>1189</v>
      </c>
      <c r="B221" s="112"/>
      <c r="C221" s="127"/>
      <c r="D221" s="127"/>
      <c r="E221" s="127">
        <f>上期TB!E223</f>
        <v>0</v>
      </c>
      <c r="F221" s="127">
        <f t="shared" ref="F221:H221" si="49">SUM(F222:F230)</f>
        <v>0</v>
      </c>
      <c r="G221" s="127">
        <f t="shared" si="49"/>
        <v>0</v>
      </c>
      <c r="H221" s="127">
        <f t="shared" si="49"/>
        <v>0</v>
      </c>
    </row>
    <row r="222" spans="1:9">
      <c r="A222" s="123" t="s">
        <v>1190</v>
      </c>
      <c r="B222" s="112"/>
      <c r="C222" s="127"/>
      <c r="D222" s="127"/>
      <c r="E222" s="126">
        <f>上期TB!E224</f>
        <v>0</v>
      </c>
      <c r="H222" s="114">
        <f t="shared" ref="H222:H231" si="50">ROUND(E222+F222-G222,2)</f>
        <v>0</v>
      </c>
    </row>
    <row r="223" spans="1:9">
      <c r="A223" s="123" t="s">
        <v>1191</v>
      </c>
      <c r="B223" s="112"/>
      <c r="C223" s="127"/>
      <c r="D223" s="127"/>
      <c r="E223" s="126">
        <f>上期TB!E225</f>
        <v>0</v>
      </c>
      <c r="H223" s="114">
        <f t="shared" si="50"/>
        <v>0</v>
      </c>
    </row>
    <row r="224" spans="1:9">
      <c r="A224" s="123" t="s">
        <v>1192</v>
      </c>
      <c r="B224" s="112"/>
      <c r="C224" s="130" t="s">
        <v>825</v>
      </c>
      <c r="D224" s="130"/>
      <c r="E224" s="126">
        <f>上期TB!E226</f>
        <v>0</v>
      </c>
      <c r="H224" s="114">
        <f t="shared" si="50"/>
        <v>0</v>
      </c>
    </row>
    <row r="225" spans="1:9">
      <c r="A225" s="123" t="s">
        <v>1193</v>
      </c>
      <c r="B225" s="112"/>
      <c r="C225" s="127"/>
      <c r="D225" s="127"/>
      <c r="E225" s="126">
        <f>上期TB!E227</f>
        <v>0</v>
      </c>
      <c r="H225" s="114">
        <f t="shared" si="50"/>
        <v>0</v>
      </c>
    </row>
    <row r="226" spans="1:9">
      <c r="A226" s="123" t="s">
        <v>1194</v>
      </c>
      <c r="B226" s="112"/>
      <c r="C226" s="130" t="s">
        <v>825</v>
      </c>
      <c r="D226" s="130"/>
      <c r="E226" s="126">
        <f>上期TB!E228</f>
        <v>0</v>
      </c>
      <c r="H226" s="114">
        <f t="shared" si="50"/>
        <v>0</v>
      </c>
    </row>
    <row r="227" spans="1:9">
      <c r="A227" s="123" t="s">
        <v>1195</v>
      </c>
      <c r="B227" s="112"/>
      <c r="C227" s="127"/>
      <c r="D227" s="127"/>
      <c r="E227" s="126">
        <f>上期TB!E229</f>
        <v>0</v>
      </c>
      <c r="H227" s="114">
        <f t="shared" si="50"/>
        <v>0</v>
      </c>
    </row>
    <row r="228" spans="1:9">
      <c r="A228" s="123" t="s">
        <v>1196</v>
      </c>
      <c r="B228" s="112"/>
      <c r="C228" s="127"/>
      <c r="D228" s="127"/>
      <c r="E228" s="126">
        <f>上期TB!E230</f>
        <v>0</v>
      </c>
      <c r="H228" s="114">
        <f t="shared" si="50"/>
        <v>0</v>
      </c>
    </row>
    <row r="229" spans="1:9">
      <c r="A229" s="123" t="s">
        <v>1197</v>
      </c>
      <c r="B229" s="112"/>
      <c r="C229" s="127"/>
      <c r="D229" s="127"/>
      <c r="E229" s="126">
        <f>上期TB!E231</f>
        <v>0</v>
      </c>
      <c r="H229" s="114">
        <f t="shared" si="50"/>
        <v>0</v>
      </c>
    </row>
    <row r="230" spans="1:9">
      <c r="A230" s="123" t="s">
        <v>1198</v>
      </c>
      <c r="B230" s="112"/>
      <c r="C230" s="127"/>
      <c r="D230" s="127"/>
      <c r="E230" s="126">
        <f>上期TB!E232</f>
        <v>0</v>
      </c>
      <c r="H230" s="114">
        <f t="shared" si="50"/>
        <v>0</v>
      </c>
    </row>
    <row r="231" spans="1:9">
      <c r="A231" s="123" t="s">
        <v>1199</v>
      </c>
      <c r="B231" s="112"/>
      <c r="C231" s="127"/>
      <c r="D231" s="127"/>
      <c r="E231" s="126">
        <f>上期TB!E233</f>
        <v>0</v>
      </c>
      <c r="H231" s="114">
        <f t="shared" si="50"/>
        <v>0</v>
      </c>
    </row>
    <row r="232" spans="1:9">
      <c r="A232" s="124" t="s">
        <v>1200</v>
      </c>
      <c r="B232" s="112"/>
      <c r="C232" s="129"/>
      <c r="D232" s="129"/>
      <c r="E232" s="129">
        <f>上期TB!E234</f>
        <v>0</v>
      </c>
      <c r="F232" s="129">
        <f t="shared" ref="F232:H232" si="51">F206+F213</f>
        <v>0</v>
      </c>
      <c r="G232" s="129">
        <f t="shared" si="51"/>
        <v>0</v>
      </c>
      <c r="H232" s="129">
        <f t="shared" si="51"/>
        <v>0</v>
      </c>
    </row>
    <row r="233" spans="1:9">
      <c r="A233" s="122" t="s">
        <v>1201</v>
      </c>
      <c r="B233" s="112"/>
      <c r="C233" s="127"/>
      <c r="D233" s="127"/>
      <c r="E233" s="127">
        <f>上期TB!E235</f>
        <v>0</v>
      </c>
      <c r="F233" s="127">
        <f t="shared" ref="F233:H233" si="52">F211+F214</f>
        <v>0</v>
      </c>
      <c r="G233" s="127">
        <f t="shared" si="52"/>
        <v>0</v>
      </c>
      <c r="H233" s="127">
        <f t="shared" si="52"/>
        <v>0</v>
      </c>
    </row>
    <row r="234" spans="1:9">
      <c r="A234" s="122" t="s">
        <v>1202</v>
      </c>
      <c r="B234" s="112"/>
      <c r="C234" s="127"/>
      <c r="D234" s="127"/>
      <c r="E234" s="127">
        <f>上期TB!E236</f>
        <v>0</v>
      </c>
      <c r="F234" s="127">
        <f t="shared" ref="F234:H234" si="53">F212+F231</f>
        <v>0</v>
      </c>
      <c r="G234" s="127">
        <f t="shared" si="53"/>
        <v>0</v>
      </c>
      <c r="H234" s="127">
        <f t="shared" si="53"/>
        <v>0</v>
      </c>
    </row>
    <row r="235" spans="1:9">
      <c r="A235" s="124" t="s">
        <v>1203</v>
      </c>
      <c r="B235" s="112"/>
      <c r="C235" s="129"/>
      <c r="D235" s="129"/>
      <c r="E235" s="126">
        <f>上期TB!E237</f>
        <v>0</v>
      </c>
    </row>
    <row r="236" spans="1:9">
      <c r="A236" s="122" t="s">
        <v>1204</v>
      </c>
      <c r="B236" s="112"/>
      <c r="C236" s="129"/>
      <c r="D236" s="129"/>
      <c r="E236" s="126">
        <f>上期TB!E238</f>
        <v>0</v>
      </c>
    </row>
    <row r="237" spans="1:9">
      <c r="A237" s="122" t="s">
        <v>1205</v>
      </c>
      <c r="B237" s="112"/>
      <c r="C237" s="129"/>
      <c r="D237" s="129"/>
      <c r="E237" s="126">
        <f>上期TB!E239</f>
        <v>0</v>
      </c>
    </row>
    <row r="238" spans="1:9">
      <c r="A238" s="123" t="s">
        <v>1206</v>
      </c>
      <c r="B238" s="112" t="s">
        <v>1207</v>
      </c>
      <c r="C238" s="129"/>
      <c r="D238" s="129"/>
      <c r="E238" s="131">
        <f>上期TB!E240</f>
        <v>0</v>
      </c>
      <c r="F238" s="1">
        <f>ROUND(SUMIF(新准则转换ETY!D:D,B238,新准则转换ETY!F:F),2)</f>
        <v>0</v>
      </c>
      <c r="G238" s="1">
        <f>ROUND(SUMIF(新准则转换ETY!D:D,B238,新准则转换ETY!G:G),2)</f>
        <v>0</v>
      </c>
      <c r="H238" s="114">
        <f>ROUND(E238-F238+G238,2)</f>
        <v>0</v>
      </c>
      <c r="I238" s="18" t="s">
        <v>1210</v>
      </c>
    </row>
    <row r="239" spans="1:9">
      <c r="A239" s="123" t="s">
        <v>1208</v>
      </c>
      <c r="B239" s="112" t="s">
        <v>1208</v>
      </c>
      <c r="C239" s="129"/>
      <c r="D239" s="129"/>
      <c r="E239" s="132">
        <f>上期TB!E241</f>
        <v>0</v>
      </c>
      <c r="F239" s="1">
        <f>ROUND(SUMIF(新准则转换ETY!D:D,B239,新准则转换ETY!F:F),2)</f>
        <v>0</v>
      </c>
      <c r="G239" s="1">
        <f>ROUND(SUMIF(新准则转换ETY!D:D,B239,新准则转换ETY!G:G),2)</f>
        <v>0</v>
      </c>
      <c r="H239" s="114">
        <f>ROUND(E239-F239+G239,2)</f>
        <v>0</v>
      </c>
    </row>
    <row r="240" spans="1:9">
      <c r="A240" s="122" t="s">
        <v>1209</v>
      </c>
      <c r="E240" s="110">
        <f>上期TB!E242</f>
        <v>0</v>
      </c>
      <c r="F240" s="1">
        <f>ROUND(SUMIF(新准则转换ETY!D:D,B240,新准则转换ETY!F:F),2)</f>
        <v>0</v>
      </c>
      <c r="G240" s="1">
        <f>ROUND(SUMIF(新准则转换ETY!D:D,B240,新准则转换ETY!G:G),2)</f>
        <v>0</v>
      </c>
      <c r="H240" s="114">
        <f>H238+H239</f>
        <v>0</v>
      </c>
    </row>
    <row r="241" spans="1:8">
      <c r="A241" s="124" t="s">
        <v>1211</v>
      </c>
      <c r="E241" s="133">
        <f>上期TB!E243</f>
        <v>0</v>
      </c>
      <c r="F241" s="133">
        <f>F240+F206</f>
        <v>0</v>
      </c>
      <c r="G241" s="133">
        <f>G240+G206</f>
        <v>0</v>
      </c>
      <c r="H241" s="133">
        <f>H240+H206</f>
        <v>0</v>
      </c>
    </row>
    <row r="242" spans="1:8">
      <c r="A242" s="122" t="s">
        <v>1212</v>
      </c>
      <c r="B242" s="18" t="s">
        <v>1213</v>
      </c>
      <c r="E242" s="134">
        <f>上期TB!E244</f>
        <v>0</v>
      </c>
      <c r="F242" s="1">
        <f>ROUND(SUMIF(新准则转换ETY!D:D,B242,新准则转换ETY!F:F),2)</f>
        <v>0</v>
      </c>
      <c r="G242" s="1">
        <f>ROUND(SUMIF(新准则转换ETY!D:D,B242,新准则转换ETY!G:G),2)</f>
        <v>0</v>
      </c>
      <c r="H242" s="114">
        <f t="shared" ref="H242:H247" si="54">ROUND(E242+F242-G242,2)</f>
        <v>0</v>
      </c>
    </row>
    <row r="243" spans="1:8">
      <c r="A243" s="122" t="s">
        <v>1214</v>
      </c>
      <c r="B243" s="18" t="s">
        <v>1215</v>
      </c>
      <c r="E243" s="134">
        <f>上期TB!E245</f>
        <v>0</v>
      </c>
      <c r="F243" s="1">
        <f>ROUND(SUMIF(新准则转换ETY!D:D,B243,新准则转换ETY!F:F),2)</f>
        <v>0</v>
      </c>
      <c r="G243" s="1">
        <f>ROUND(SUMIF(新准则转换ETY!D:D,B243,新准则转换ETY!G:G),2)</f>
        <v>0</v>
      </c>
      <c r="H243" s="114">
        <f t="shared" si="54"/>
        <v>0</v>
      </c>
    </row>
    <row r="244" spans="1:8">
      <c r="A244" s="122" t="s">
        <v>1216</v>
      </c>
      <c r="B244" s="18" t="s">
        <v>1217</v>
      </c>
      <c r="E244" s="134">
        <f>上期TB!E246</f>
        <v>0</v>
      </c>
      <c r="F244" s="1">
        <f>ROUND(SUMIF(新准则转换ETY!D:D,B244,新准则转换ETY!F:F),2)</f>
        <v>0</v>
      </c>
      <c r="G244" s="1">
        <f>ROUND(SUMIF(新准则转换ETY!D:D,B244,新准则转换ETY!G:G),2)</f>
        <v>0</v>
      </c>
      <c r="H244" s="114">
        <f t="shared" si="54"/>
        <v>0</v>
      </c>
    </row>
    <row r="245" spans="1:8">
      <c r="A245" s="122" t="s">
        <v>1218</v>
      </c>
      <c r="B245" s="18" t="s">
        <v>1219</v>
      </c>
      <c r="E245" s="134">
        <f>上期TB!E247</f>
        <v>0</v>
      </c>
      <c r="F245" s="1">
        <f>ROUND(SUMIF(新准则转换ETY!D:D,B245,新准则转换ETY!F:F),2)</f>
        <v>0</v>
      </c>
      <c r="G245" s="1">
        <f>ROUND(SUMIF(新准则转换ETY!D:D,B245,新准则转换ETY!G:G),2)</f>
        <v>0</v>
      </c>
      <c r="H245" s="114">
        <f t="shared" si="54"/>
        <v>0</v>
      </c>
    </row>
    <row r="246" spans="1:8">
      <c r="A246" s="122" t="s">
        <v>1220</v>
      </c>
      <c r="B246" s="18" t="s">
        <v>1221</v>
      </c>
      <c r="E246" s="134">
        <f>上期TB!E248</f>
        <v>0</v>
      </c>
      <c r="F246" s="1">
        <f>ROUND(SUMIF(新准则转换ETY!D:D,B246,新准则转换ETY!F:F),2)</f>
        <v>0</v>
      </c>
      <c r="G246" s="1">
        <f>ROUND(SUMIF(新准则转换ETY!D:D,B246,新准则转换ETY!G:G),2)</f>
        <v>0</v>
      </c>
      <c r="H246" s="114">
        <f t="shared" si="54"/>
        <v>0</v>
      </c>
    </row>
    <row r="247" spans="1:8">
      <c r="A247" s="122" t="s">
        <v>1222</v>
      </c>
      <c r="B247" s="18" t="s">
        <v>1223</v>
      </c>
      <c r="E247" s="134">
        <f>上期TB!E249</f>
        <v>0</v>
      </c>
      <c r="F247" s="1">
        <f>ROUND(SUMIF(新准则转换ETY!D:D,B247,新准则转换ETY!F:F),2)</f>
        <v>0</v>
      </c>
      <c r="G247" s="1">
        <f>ROUND(SUMIF(新准则转换ETY!D:D,B247,新准则转换ETY!G:G),2)</f>
        <v>0</v>
      </c>
      <c r="H247" s="114">
        <f t="shared" si="54"/>
        <v>0</v>
      </c>
    </row>
    <row r="248" spans="1:8">
      <c r="A248" s="124" t="s">
        <v>1224</v>
      </c>
      <c r="E248" s="133">
        <f>上期TB!E250</f>
        <v>0</v>
      </c>
      <c r="F248" s="133">
        <f t="shared" ref="F248:H248" si="55">F241-SUM(F242:F247)</f>
        <v>0</v>
      </c>
      <c r="G248" s="133">
        <f t="shared" si="55"/>
        <v>0</v>
      </c>
      <c r="H248" s="133">
        <f t="shared" si="55"/>
        <v>0</v>
      </c>
    </row>
    <row r="249" spans="1:8">
      <c r="A249" s="122" t="s">
        <v>1225</v>
      </c>
      <c r="B249" s="18" t="s">
        <v>1226</v>
      </c>
      <c r="E249" s="134">
        <f>上期TB!E251</f>
        <v>0</v>
      </c>
      <c r="F249" s="1">
        <f>ROUND(SUMIF(新准则转换ETY!D:D,B249,新准则转换ETY!F:F),2)</f>
        <v>0</v>
      </c>
      <c r="G249" s="1">
        <f>ROUND(SUMIF(新准则转换ETY!D:D,B249,新准则转换ETY!G:G),2)</f>
        <v>0</v>
      </c>
      <c r="H249" s="114">
        <f t="shared" ref="H249:H252" si="56">ROUND(E249+F249-G249,2)</f>
        <v>0</v>
      </c>
    </row>
    <row r="250" spans="1:8">
      <c r="A250" s="122" t="s">
        <v>1227</v>
      </c>
      <c r="B250" s="18" t="s">
        <v>1228</v>
      </c>
      <c r="E250" s="134">
        <f>上期TB!E252</f>
        <v>0</v>
      </c>
      <c r="F250" s="1">
        <f>ROUND(SUMIF(新准则转换ETY!D:D,B250,新准则转换ETY!F:F),2)</f>
        <v>0</v>
      </c>
      <c r="G250" s="1">
        <f>ROUND(SUMIF(新准则转换ETY!D:D,B250,新准则转换ETY!G:G),2)</f>
        <v>0</v>
      </c>
      <c r="H250" s="114">
        <f t="shared" si="56"/>
        <v>0</v>
      </c>
    </row>
    <row r="251" spans="1:8">
      <c r="A251" s="122" t="s">
        <v>1229</v>
      </c>
      <c r="B251" s="18" t="s">
        <v>1230</v>
      </c>
      <c r="E251" s="135">
        <f>上期TB!E253</f>
        <v>0</v>
      </c>
      <c r="F251" s="1">
        <f>ROUND(SUMIF(新准则转换ETY!D:D,B251,新准则转换ETY!F:F),2)</f>
        <v>0</v>
      </c>
      <c r="G251" s="1">
        <f>ROUND(SUMIF(新准则转换ETY!D:D,B251,新准则转换ETY!G:G),2)</f>
        <v>0</v>
      </c>
      <c r="H251" s="114">
        <f t="shared" si="56"/>
        <v>0</v>
      </c>
    </row>
    <row r="252" spans="1:8">
      <c r="A252" s="122" t="s">
        <v>1231</v>
      </c>
      <c r="B252" s="18" t="s">
        <v>1232</v>
      </c>
      <c r="E252" s="135">
        <f>上期TB!E254</f>
        <v>0</v>
      </c>
      <c r="F252" s="1">
        <f>ROUND(SUMIF(新准则转换ETY!D:D,B252,新准则转换ETY!F:F),2)</f>
        <v>0</v>
      </c>
      <c r="G252" s="1">
        <f>ROUND(SUMIF(新准则转换ETY!D:D,B252,新准则转换ETY!G:G),2)</f>
        <v>0</v>
      </c>
      <c r="H252" s="114">
        <f t="shared" si="56"/>
        <v>0</v>
      </c>
    </row>
    <row r="253" spans="1:8">
      <c r="A253" s="124" t="s">
        <v>1233</v>
      </c>
      <c r="E253" s="133">
        <f>上期TB!E255</f>
        <v>0</v>
      </c>
      <c r="F253" s="133">
        <f t="shared" ref="F253:H253" si="57">F248-SUM(F249:F252)</f>
        <v>0</v>
      </c>
      <c r="G253" s="133">
        <f t="shared" si="57"/>
        <v>0</v>
      </c>
      <c r="H253" s="133">
        <f t="shared" si="57"/>
        <v>0</v>
      </c>
    </row>
    <row r="254" spans="1:8">
      <c r="A254" s="122" t="s">
        <v>1234</v>
      </c>
      <c r="E254" s="133">
        <f>E167-E106</f>
        <v>0</v>
      </c>
      <c r="H254" s="133">
        <f>H167-H106</f>
        <v>0</v>
      </c>
    </row>
    <row r="255" spans="1:8">
      <c r="A255" s="122" t="s">
        <v>1235</v>
      </c>
      <c r="H255" s="133"/>
    </row>
    <row r="257" spans="5:5">
      <c r="E257" s="1"/>
    </row>
    <row r="258" spans="5:5">
      <c r="E258" s="133"/>
    </row>
  </sheetData>
  <phoneticPr fontId="1" type="noConversion"/>
  <conditionalFormatting sqref="I71:L71">
    <cfRule type="uniqueValues" dxfId="11" priority="5"/>
    <cfRule type="uniqueValues" dxfId="10" priority="6"/>
  </conditionalFormatting>
  <conditionalFormatting sqref="I68:L68 K69 I69:I70">
    <cfRule type="uniqueValues" dxfId="9" priority="3"/>
    <cfRule type="uniqueValues" dxfId="8" priority="4"/>
  </conditionalFormatting>
  <conditionalFormatting sqref="K70">
    <cfRule type="uniqueValues" dxfId="7" priority="1"/>
    <cfRule type="uniqueValues" dxfId="6"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sheetPr codeName="Sheet69"/>
  <dimension ref="A1:L160"/>
  <sheetViews>
    <sheetView workbookViewId="0">
      <selection activeCell="K23" sqref="K23"/>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2383</v>
      </c>
      <c r="B1" t="s">
        <v>2381</v>
      </c>
      <c r="C1" t="s">
        <v>2382</v>
      </c>
      <c r="D1" t="s">
        <v>2385</v>
      </c>
      <c r="E1" t="s">
        <v>2380</v>
      </c>
      <c r="F1" t="s">
        <v>372</v>
      </c>
      <c r="G1" t="s">
        <v>183</v>
      </c>
      <c r="H1" t="s">
        <v>213</v>
      </c>
      <c r="I1" t="s">
        <v>2388</v>
      </c>
      <c r="J1" t="s">
        <v>2389</v>
      </c>
      <c r="K1" t="s">
        <v>2386</v>
      </c>
      <c r="L1" t="s">
        <v>2387</v>
      </c>
    </row>
    <row r="2" spans="1:12">
      <c r="A2" t="str">
        <f>IF(ABS(G2)&gt;0,基础信息!$B$1,"")</f>
        <v/>
      </c>
      <c r="B2" s="255"/>
      <c r="C2" s="276"/>
      <c r="D2" s="276"/>
      <c r="E2" s="255"/>
      <c r="F2" s="255"/>
      <c r="G2" s="255"/>
      <c r="H2" s="255"/>
      <c r="I2" s="255"/>
      <c r="J2" s="255"/>
      <c r="K2" s="255"/>
      <c r="L2" s="255"/>
    </row>
    <row r="3" spans="1:12">
      <c r="A3" t="str">
        <f>IF(ABS(G3)&gt;0,基础信息!$B$1,"")</f>
        <v/>
      </c>
      <c r="B3" s="255"/>
      <c r="C3" s="276"/>
      <c r="D3" s="276"/>
      <c r="E3" s="255"/>
      <c r="F3" s="255"/>
      <c r="G3" s="255"/>
      <c r="H3" s="255"/>
      <c r="I3" s="255"/>
      <c r="J3" s="255"/>
      <c r="K3" s="255"/>
      <c r="L3" s="255"/>
    </row>
    <row r="4" spans="1:12">
      <c r="A4" t="str">
        <f>IF(ABS(G4)&gt;0,基础信息!$B$1,"")</f>
        <v/>
      </c>
      <c r="B4" s="255"/>
      <c r="C4" s="276"/>
      <c r="D4" s="276"/>
      <c r="E4" s="255"/>
      <c r="F4" s="255"/>
      <c r="G4" s="255"/>
      <c r="H4" s="255"/>
      <c r="I4" s="255"/>
      <c r="J4" s="255"/>
      <c r="K4" s="255"/>
      <c r="L4" s="255"/>
    </row>
    <row r="5" spans="1:12">
      <c r="A5" t="str">
        <f>IF(ABS(G5)&gt;0,基础信息!$B$1,"")</f>
        <v/>
      </c>
      <c r="B5" s="255"/>
      <c r="C5" s="276"/>
      <c r="D5" s="276"/>
      <c r="E5" s="255"/>
      <c r="F5" s="255"/>
      <c r="G5" s="255"/>
      <c r="H5" s="255"/>
      <c r="I5" s="255"/>
      <c r="J5" s="255"/>
      <c r="K5" s="255"/>
      <c r="L5" s="255"/>
    </row>
    <row r="6" spans="1:12">
      <c r="A6" t="str">
        <f>IF(ABS(G6)&gt;0,基础信息!$B$1,"")</f>
        <v/>
      </c>
      <c r="B6" s="255"/>
      <c r="C6" s="276"/>
      <c r="D6" s="276"/>
      <c r="E6" s="255"/>
      <c r="F6" s="255"/>
      <c r="G6" s="255"/>
      <c r="H6" s="255"/>
      <c r="I6" s="255"/>
      <c r="J6" s="255"/>
      <c r="K6" s="255"/>
      <c r="L6" s="255"/>
    </row>
    <row r="7" spans="1:12">
      <c r="A7" t="str">
        <f>IF(ABS(G7)&gt;0,基础信息!$B$1,"")</f>
        <v/>
      </c>
      <c r="B7" s="255"/>
      <c r="C7" s="276"/>
      <c r="D7" s="276"/>
      <c r="E7" s="255"/>
      <c r="F7" s="255"/>
      <c r="G7" s="255"/>
      <c r="H7" s="255"/>
      <c r="I7" s="255"/>
      <c r="J7" s="255"/>
      <c r="K7" s="255"/>
      <c r="L7" s="255"/>
    </row>
    <row r="8" spans="1:12">
      <c r="A8" t="str">
        <f>IF(ABS(G8)&gt;0,基础信息!$B$1,"")</f>
        <v/>
      </c>
      <c r="B8" s="255"/>
      <c r="C8" s="276"/>
      <c r="D8" s="276"/>
      <c r="E8" s="255"/>
      <c r="F8" s="255"/>
      <c r="G8" s="255"/>
      <c r="H8" s="255"/>
      <c r="I8" s="255"/>
      <c r="J8" s="255"/>
      <c r="K8" s="255"/>
      <c r="L8" s="255"/>
    </row>
    <row r="9" spans="1:12">
      <c r="A9" t="str">
        <f>IF(ABS(G9)&gt;0,基础信息!$B$1,"")</f>
        <v/>
      </c>
      <c r="B9" s="255"/>
      <c r="C9" s="276"/>
      <c r="D9" s="276"/>
      <c r="E9" s="255"/>
      <c r="F9" s="255"/>
      <c r="G9" s="255"/>
      <c r="H9" s="255"/>
      <c r="I9" s="255"/>
      <c r="J9" s="255"/>
      <c r="K9" s="255"/>
      <c r="L9" s="255"/>
    </row>
    <row r="10" spans="1:12">
      <c r="A10" t="str">
        <f>IF(ABS(G10)&gt;0,基础信息!$B$1,"")</f>
        <v/>
      </c>
      <c r="B10" s="255"/>
      <c r="C10" s="276"/>
      <c r="D10" s="276"/>
      <c r="E10" s="255"/>
      <c r="F10" s="255"/>
      <c r="G10" s="255"/>
      <c r="H10" s="255"/>
      <c r="I10" s="255"/>
      <c r="J10" s="255"/>
      <c r="K10" s="255"/>
      <c r="L10" s="255"/>
    </row>
    <row r="11" spans="1:12">
      <c r="A11" t="str">
        <f>IF(ABS(G11)&gt;0,基础信息!$B$1,"")</f>
        <v/>
      </c>
      <c r="B11" s="255"/>
      <c r="C11" s="276"/>
      <c r="D11" s="276"/>
      <c r="E11" s="255"/>
      <c r="F11" s="255"/>
      <c r="G11" s="255"/>
      <c r="H11" s="255"/>
      <c r="I11" s="255"/>
      <c r="J11" s="255"/>
      <c r="K11" s="255"/>
      <c r="L11" s="255"/>
    </row>
    <row r="12" spans="1:12">
      <c r="A12" t="str">
        <f>IF(ABS(G12)&gt;0,基础信息!$B$1,"")</f>
        <v/>
      </c>
      <c r="B12" s="255"/>
      <c r="C12" s="276"/>
      <c r="D12" s="276"/>
      <c r="E12" s="255"/>
      <c r="F12" s="255"/>
      <c r="G12" s="255"/>
      <c r="H12" s="255"/>
      <c r="I12" s="255"/>
      <c r="J12" s="255"/>
      <c r="K12" s="255"/>
      <c r="L12" s="255"/>
    </row>
    <row r="13" spans="1:12">
      <c r="A13" t="str">
        <f>IF(ABS(G13)&gt;0,基础信息!$B$1,"")</f>
        <v/>
      </c>
      <c r="B13" s="255"/>
      <c r="C13" s="276"/>
      <c r="D13" s="276"/>
      <c r="E13" s="255"/>
      <c r="F13" s="255"/>
      <c r="G13" s="255"/>
      <c r="H13" s="255"/>
      <c r="I13" s="255"/>
      <c r="J13" s="255"/>
      <c r="K13" s="255"/>
      <c r="L13" s="255"/>
    </row>
    <row r="14" spans="1:12">
      <c r="A14" t="str">
        <f>IF(ABS(G14)&gt;0,基础信息!$B$1,"")</f>
        <v/>
      </c>
      <c r="B14" s="255"/>
      <c r="C14" s="276"/>
      <c r="D14" s="276"/>
      <c r="E14" s="255"/>
      <c r="F14" s="255"/>
      <c r="G14" s="255"/>
      <c r="H14" s="255"/>
      <c r="I14" s="255"/>
      <c r="J14" s="255"/>
      <c r="K14" s="255"/>
      <c r="L14" s="255"/>
    </row>
    <row r="15" spans="1:12">
      <c r="A15" t="str">
        <f>IF(ABS(G15)&gt;0,基础信息!$B$1,"")</f>
        <v/>
      </c>
      <c r="B15" s="255"/>
      <c r="C15" s="276"/>
      <c r="D15" s="276"/>
      <c r="E15" s="255"/>
      <c r="F15" s="255"/>
      <c r="G15" s="255"/>
      <c r="H15" s="255"/>
      <c r="I15" s="255"/>
      <c r="J15" s="255"/>
      <c r="K15" s="255"/>
      <c r="L15" s="255"/>
    </row>
    <row r="16" spans="1:12">
      <c r="A16" t="str">
        <f>IF(ABS(G16)&gt;0,基础信息!$B$1,"")</f>
        <v/>
      </c>
      <c r="B16" s="255"/>
      <c r="C16" s="276"/>
      <c r="D16" s="276"/>
      <c r="E16" s="255"/>
      <c r="F16" s="255"/>
      <c r="G16" s="255"/>
      <c r="H16" s="255"/>
      <c r="I16" s="255"/>
      <c r="J16" s="255"/>
      <c r="K16" s="255"/>
      <c r="L16" s="255"/>
    </row>
    <row r="17" spans="1:12">
      <c r="A17" t="str">
        <f>IF(ABS(G17)&gt;0,基础信息!$B$1,"")</f>
        <v/>
      </c>
      <c r="B17" s="255"/>
      <c r="C17" s="276"/>
      <c r="D17" s="276"/>
      <c r="E17" s="255"/>
      <c r="F17" s="255"/>
      <c r="G17" s="255"/>
      <c r="H17" s="255"/>
      <c r="I17" s="255"/>
      <c r="J17" s="255"/>
      <c r="K17" s="255"/>
      <c r="L17" s="255"/>
    </row>
    <row r="18" spans="1:12">
      <c r="A18" t="str">
        <f>IF(ABS(G18)&gt;0,基础信息!$B$1,"")</f>
        <v/>
      </c>
      <c r="B18" s="255"/>
      <c r="C18" s="276"/>
      <c r="D18" s="276"/>
      <c r="E18" s="255"/>
      <c r="F18" s="255"/>
      <c r="G18" s="255"/>
      <c r="H18" s="255"/>
      <c r="I18" s="255"/>
      <c r="J18" s="255"/>
      <c r="K18" s="255"/>
      <c r="L18" s="255"/>
    </row>
    <row r="19" spans="1:12">
      <c r="A19" t="str">
        <f>IF(ABS(G19)&gt;0,基础信息!$B$1,"")</f>
        <v/>
      </c>
      <c r="B19" s="255"/>
      <c r="C19" s="276"/>
      <c r="D19" s="276"/>
      <c r="E19" s="255"/>
      <c r="F19" s="255"/>
      <c r="G19" s="255"/>
      <c r="H19" s="255"/>
      <c r="I19" s="255"/>
      <c r="J19" s="255"/>
      <c r="K19" s="255"/>
      <c r="L19" s="255"/>
    </row>
    <row r="20" spans="1:12">
      <c r="A20" t="str">
        <f>IF(ABS(G20)&gt;0,基础信息!$B$1,"")</f>
        <v/>
      </c>
      <c r="B20" s="255"/>
      <c r="C20" s="276"/>
      <c r="D20" s="276"/>
      <c r="E20" s="255"/>
      <c r="F20" s="255"/>
      <c r="G20" s="255"/>
      <c r="H20" s="255"/>
      <c r="I20" s="255"/>
      <c r="J20" s="255"/>
      <c r="K20" s="255"/>
      <c r="L20" s="255"/>
    </row>
    <row r="21" spans="1:12">
      <c r="A21" t="str">
        <f>IF(ABS(G21)&gt;0,基础信息!$B$1,"")</f>
        <v/>
      </c>
      <c r="B21" s="255"/>
      <c r="C21" s="276"/>
      <c r="D21" s="276"/>
      <c r="E21" s="255"/>
      <c r="F21" s="255"/>
      <c r="G21" s="255"/>
      <c r="H21" s="255"/>
      <c r="I21" s="255"/>
      <c r="J21" s="255"/>
      <c r="K21" s="255"/>
      <c r="L21" s="255"/>
    </row>
    <row r="22" spans="1:12">
      <c r="A22" t="str">
        <f>IF(ABS(G22)&gt;0,基础信息!$B$1,"")</f>
        <v/>
      </c>
      <c r="B22" s="255"/>
      <c r="C22" s="276"/>
      <c r="D22" s="276"/>
      <c r="E22" s="255"/>
      <c r="F22" s="255"/>
      <c r="G22" s="255"/>
      <c r="H22" s="255"/>
      <c r="I22" s="255"/>
      <c r="J22" s="255"/>
      <c r="K22" s="255"/>
      <c r="L22" s="255"/>
    </row>
    <row r="23" spans="1:12">
      <c r="A23" t="str">
        <f>IF(ABS(G23)&gt;0,基础信息!$B$1,"")</f>
        <v/>
      </c>
      <c r="B23" s="255"/>
      <c r="C23" s="276"/>
      <c r="D23" s="276"/>
      <c r="E23" s="255"/>
      <c r="F23" s="255"/>
      <c r="G23" s="255"/>
      <c r="H23" s="255"/>
      <c r="I23" s="255"/>
      <c r="J23" s="255"/>
      <c r="K23" s="255"/>
      <c r="L23" s="255"/>
    </row>
    <row r="24" spans="1:12">
      <c r="A24" t="str">
        <f>IF(ABS(G24)&gt;0,基础信息!$B$1,"")</f>
        <v/>
      </c>
      <c r="B24" s="255"/>
      <c r="C24" s="276"/>
      <c r="D24" s="276"/>
      <c r="E24" s="255"/>
      <c r="F24" s="255"/>
      <c r="G24" s="255"/>
      <c r="H24" s="255"/>
      <c r="I24" s="255"/>
      <c r="J24" s="255"/>
      <c r="K24" s="255"/>
      <c r="L24" s="255"/>
    </row>
    <row r="25" spans="1:12">
      <c r="A25" t="str">
        <f>IF(ABS(G25)&gt;0,基础信息!$B$1,"")</f>
        <v/>
      </c>
      <c r="B25" s="255"/>
      <c r="C25" s="276"/>
      <c r="D25" s="276"/>
      <c r="E25" s="255"/>
      <c r="F25" s="255"/>
      <c r="G25" s="255"/>
      <c r="H25" s="255"/>
      <c r="I25" s="255"/>
      <c r="J25" s="255"/>
      <c r="K25" s="255"/>
      <c r="L25" s="255"/>
    </row>
    <row r="26" spans="1:12">
      <c r="A26" t="str">
        <f>IF(ABS(G26)&gt;0,基础信息!$B$1,"")</f>
        <v/>
      </c>
      <c r="B26" s="255"/>
      <c r="C26" s="276"/>
      <c r="D26" s="276"/>
      <c r="E26" s="255"/>
      <c r="F26" s="255"/>
      <c r="G26" s="255"/>
      <c r="H26" s="255"/>
      <c r="I26" s="255"/>
      <c r="J26" s="255"/>
      <c r="K26" s="255"/>
      <c r="L26" s="255"/>
    </row>
    <row r="27" spans="1:12">
      <c r="A27" t="str">
        <f>IF(ABS(G27)&gt;0,基础信息!$B$1,"")</f>
        <v/>
      </c>
      <c r="B27" s="255"/>
      <c r="C27" s="276"/>
      <c r="D27" s="276"/>
      <c r="E27" s="255"/>
      <c r="F27" s="255"/>
      <c r="G27" s="255"/>
      <c r="H27" s="255"/>
      <c r="I27" s="255"/>
      <c r="J27" s="255"/>
      <c r="K27" s="255"/>
      <c r="L27" s="255"/>
    </row>
    <row r="28" spans="1:12">
      <c r="A28" t="str">
        <f>IF(ABS(G28)&gt;0,基础信息!$B$1,"")</f>
        <v/>
      </c>
      <c r="B28" s="255"/>
      <c r="C28" s="276"/>
      <c r="D28" s="276"/>
      <c r="E28" s="255"/>
      <c r="F28" s="255"/>
      <c r="G28" s="255"/>
      <c r="H28" s="255"/>
      <c r="I28" s="255"/>
      <c r="J28" s="255"/>
      <c r="K28" s="255"/>
      <c r="L28" s="255"/>
    </row>
    <row r="29" spans="1:12">
      <c r="A29" t="str">
        <f>IF(ABS(G29)&gt;0,基础信息!$B$1,"")</f>
        <v/>
      </c>
      <c r="B29" s="255"/>
      <c r="C29" s="276"/>
      <c r="D29" s="276"/>
      <c r="E29" s="255"/>
      <c r="F29" s="255"/>
      <c r="G29" s="255"/>
      <c r="H29" s="255"/>
      <c r="I29" s="255"/>
      <c r="J29" s="255"/>
      <c r="K29" s="255"/>
      <c r="L29" s="255"/>
    </row>
    <row r="30" spans="1:12">
      <c r="A30" t="str">
        <f>IF(ABS(G30)&gt;0,基础信息!$B$1,"")</f>
        <v/>
      </c>
      <c r="B30" s="255"/>
      <c r="C30" s="276"/>
      <c r="D30" s="276"/>
      <c r="E30" s="255"/>
      <c r="F30" s="255"/>
      <c r="G30" s="255"/>
      <c r="H30" s="255"/>
      <c r="I30" s="255"/>
      <c r="J30" s="255"/>
      <c r="K30" s="255"/>
      <c r="L30" s="255"/>
    </row>
    <row r="31" spans="1:12">
      <c r="A31" t="str">
        <f>IF(ABS(G31)&gt;0,基础信息!$B$1,"")</f>
        <v/>
      </c>
      <c r="B31" s="255"/>
      <c r="C31" s="276"/>
      <c r="D31" s="276"/>
      <c r="E31" s="255"/>
      <c r="F31" s="255"/>
      <c r="G31" s="255"/>
      <c r="H31" s="255"/>
      <c r="I31" s="255"/>
      <c r="J31" s="255"/>
      <c r="K31" s="255"/>
      <c r="L31" s="255"/>
    </row>
    <row r="32" spans="1:12">
      <c r="A32" t="str">
        <f>IF(ABS(G32)&gt;0,基础信息!$B$1,"")</f>
        <v/>
      </c>
      <c r="B32" s="255"/>
      <c r="C32" s="276"/>
      <c r="D32" s="276"/>
      <c r="E32" s="255"/>
      <c r="F32" s="255"/>
      <c r="G32" s="255"/>
      <c r="H32" s="255"/>
      <c r="I32" s="255"/>
      <c r="J32" s="255"/>
      <c r="K32" s="255"/>
      <c r="L32" s="255"/>
    </row>
    <row r="33" spans="1:12">
      <c r="A33" t="str">
        <f>IF(ABS(G33)&gt;0,基础信息!$B$1,"")</f>
        <v/>
      </c>
      <c r="B33" s="255"/>
      <c r="C33" s="276"/>
      <c r="D33" s="276"/>
      <c r="E33" s="255"/>
      <c r="F33" s="255"/>
      <c r="G33" s="255"/>
      <c r="H33" s="255"/>
      <c r="I33" s="255"/>
      <c r="J33" s="255"/>
      <c r="K33" s="255"/>
      <c r="L33" s="255"/>
    </row>
    <row r="34" spans="1:12">
      <c r="A34" t="str">
        <f>IF(ABS(G34)&gt;0,基础信息!$B$1,"")</f>
        <v/>
      </c>
      <c r="B34" s="255"/>
      <c r="C34" s="276"/>
      <c r="D34" s="276"/>
      <c r="E34" s="255"/>
      <c r="F34" s="255"/>
      <c r="G34" s="255"/>
      <c r="H34" s="255"/>
      <c r="I34" s="255"/>
      <c r="J34" s="255"/>
      <c r="K34" s="255"/>
      <c r="L34" s="255"/>
    </row>
    <row r="35" spans="1:12">
      <c r="A35" t="str">
        <f>IF(ABS(G35)&gt;0,基础信息!$B$1,"")</f>
        <v/>
      </c>
      <c r="B35" s="255"/>
      <c r="C35" s="276"/>
      <c r="D35" s="276"/>
      <c r="E35" s="255"/>
      <c r="F35" s="255"/>
      <c r="G35" s="255"/>
      <c r="H35" s="255"/>
      <c r="I35" s="255"/>
      <c r="J35" s="255"/>
      <c r="K35" s="255"/>
      <c r="L35" s="255"/>
    </row>
    <row r="36" spans="1:12">
      <c r="A36" t="str">
        <f>IF(ABS(G36)&gt;0,基础信息!$B$1,"")</f>
        <v/>
      </c>
      <c r="B36" s="255"/>
      <c r="C36" s="276"/>
      <c r="D36" s="276"/>
      <c r="E36" s="255"/>
      <c r="F36" s="255"/>
      <c r="G36" s="255"/>
      <c r="H36" s="255"/>
      <c r="I36" s="255"/>
      <c r="J36" s="255"/>
      <c r="K36" s="255"/>
      <c r="L36" s="255"/>
    </row>
    <row r="37" spans="1:12">
      <c r="A37" t="str">
        <f>IF(ABS(G37)&gt;0,基础信息!$B$1,"")</f>
        <v/>
      </c>
      <c r="B37" s="255"/>
      <c r="C37" s="276"/>
      <c r="D37" s="276"/>
      <c r="E37" s="255"/>
      <c r="F37" s="255"/>
      <c r="G37" s="255"/>
      <c r="H37" s="255"/>
      <c r="I37" s="255"/>
      <c r="J37" s="255"/>
      <c r="K37" s="255"/>
      <c r="L37" s="255"/>
    </row>
    <row r="38" spans="1:12">
      <c r="A38" t="str">
        <f>IF(ABS(G38)&gt;0,基础信息!$B$1,"")</f>
        <v/>
      </c>
      <c r="B38" s="255"/>
      <c r="C38" s="276"/>
      <c r="D38" s="276"/>
      <c r="E38" s="255"/>
      <c r="F38" s="255"/>
      <c r="G38" s="255"/>
      <c r="H38" s="255"/>
      <c r="I38" s="255"/>
      <c r="J38" s="255"/>
      <c r="K38" s="255"/>
      <c r="L38" s="255"/>
    </row>
    <row r="39" spans="1:12">
      <c r="A39" t="str">
        <f>IF(ABS(G39)&gt;0,基础信息!$B$1,"")</f>
        <v/>
      </c>
      <c r="B39" s="255"/>
      <c r="C39" s="276"/>
      <c r="D39" s="276"/>
      <c r="E39" s="255"/>
      <c r="F39" s="255"/>
      <c r="G39" s="255"/>
      <c r="H39" s="255"/>
      <c r="I39" s="255"/>
      <c r="J39" s="255"/>
      <c r="K39" s="255"/>
      <c r="L39" s="255"/>
    </row>
    <row r="40" spans="1:12">
      <c r="A40" t="str">
        <f>IF(ABS(G40)&gt;0,基础信息!$B$1,"")</f>
        <v/>
      </c>
      <c r="B40" s="255"/>
      <c r="C40" s="276"/>
      <c r="D40" s="276"/>
      <c r="E40" s="255"/>
      <c r="F40" s="255"/>
      <c r="G40" s="255"/>
      <c r="H40" s="255"/>
      <c r="I40" s="255"/>
      <c r="J40" s="255"/>
      <c r="K40" s="255"/>
      <c r="L40" s="255"/>
    </row>
    <row r="41" spans="1:12">
      <c r="A41" t="str">
        <f>IF(ABS(G41)&gt;0,基础信息!$B$1,"")</f>
        <v/>
      </c>
      <c r="B41" s="255"/>
      <c r="C41" s="276"/>
      <c r="D41" s="276"/>
      <c r="E41" s="255"/>
      <c r="F41" s="255"/>
      <c r="G41" s="255"/>
      <c r="H41" s="255"/>
      <c r="I41" s="255"/>
      <c r="J41" s="255"/>
      <c r="K41" s="255"/>
      <c r="L41" s="255"/>
    </row>
    <row r="42" spans="1:12">
      <c r="A42" t="str">
        <f>IF(ABS(G42)&gt;0,基础信息!$B$1,"")</f>
        <v/>
      </c>
      <c r="B42" s="255"/>
      <c r="C42" s="276"/>
      <c r="D42" s="276"/>
      <c r="E42" s="255"/>
      <c r="F42" s="255"/>
      <c r="G42" s="255"/>
      <c r="H42" s="255"/>
      <c r="I42" s="255"/>
      <c r="J42" s="255"/>
      <c r="K42" s="255"/>
      <c r="L42" s="255"/>
    </row>
    <row r="43" spans="1:12">
      <c r="A43" t="str">
        <f>IF(ABS(G43)&gt;0,基础信息!$B$1,"")</f>
        <v/>
      </c>
      <c r="B43" s="255"/>
      <c r="C43" s="276"/>
      <c r="D43" s="276"/>
      <c r="E43" s="255"/>
      <c r="F43" s="255"/>
      <c r="G43" s="255"/>
      <c r="H43" s="255"/>
      <c r="I43" s="255"/>
      <c r="J43" s="255"/>
      <c r="K43" s="255"/>
      <c r="L43" s="255"/>
    </row>
    <row r="44" spans="1:12">
      <c r="A44" t="str">
        <f>IF(ABS(G44)&gt;0,基础信息!$B$1,"")</f>
        <v/>
      </c>
      <c r="B44" s="255"/>
      <c r="C44" s="276"/>
      <c r="D44" s="276"/>
      <c r="E44" s="255"/>
      <c r="F44" s="255"/>
      <c r="G44" s="255"/>
      <c r="H44" s="255"/>
      <c r="I44" s="255"/>
      <c r="J44" s="255"/>
      <c r="K44" s="255"/>
      <c r="L44" s="255"/>
    </row>
    <row r="45" spans="1:12">
      <c r="A45" t="str">
        <f>IF(ABS(G45)&gt;0,基础信息!$B$1,"")</f>
        <v/>
      </c>
      <c r="B45" s="255"/>
      <c r="C45" s="276"/>
      <c r="D45" s="276"/>
      <c r="E45" s="255"/>
      <c r="F45" s="255"/>
      <c r="G45" s="255"/>
      <c r="H45" s="255"/>
      <c r="I45" s="255"/>
      <c r="J45" s="255"/>
      <c r="K45" s="255"/>
      <c r="L45" s="255"/>
    </row>
    <row r="46" spans="1:12">
      <c r="A46" t="str">
        <f>IF(ABS(G46)&gt;0,基础信息!$B$1,"")</f>
        <v/>
      </c>
      <c r="B46" s="255"/>
      <c r="C46" s="276"/>
      <c r="D46" s="276"/>
      <c r="E46" s="255"/>
      <c r="F46" s="255"/>
      <c r="G46" s="255"/>
      <c r="H46" s="255"/>
      <c r="I46" s="255"/>
      <c r="J46" s="255"/>
      <c r="K46" s="255"/>
      <c r="L46" s="255"/>
    </row>
    <row r="47" spans="1:12">
      <c r="A47" t="str">
        <f>IF(ABS(G47)&gt;0,基础信息!$B$1,"")</f>
        <v/>
      </c>
      <c r="B47" s="255"/>
      <c r="C47" s="276"/>
      <c r="D47" s="276"/>
      <c r="E47" s="255"/>
      <c r="F47" s="255"/>
      <c r="G47" s="255"/>
      <c r="H47" s="255"/>
      <c r="I47" s="255"/>
      <c r="J47" s="255"/>
      <c r="K47" s="255"/>
      <c r="L47" s="255"/>
    </row>
    <row r="48" spans="1:12">
      <c r="A48" t="str">
        <f>IF(ABS(G48)&gt;0,基础信息!$B$1,"")</f>
        <v/>
      </c>
      <c r="B48" s="255"/>
      <c r="C48" s="276"/>
      <c r="D48" s="276"/>
      <c r="E48" s="255"/>
      <c r="F48" s="255"/>
      <c r="G48" s="255"/>
      <c r="H48" s="255"/>
      <c r="I48" s="255"/>
      <c r="J48" s="255"/>
      <c r="K48" s="255"/>
      <c r="L48" s="255"/>
    </row>
    <row r="49" spans="1:12">
      <c r="A49" t="str">
        <f>IF(ABS(G49)&gt;0,基础信息!$B$1,"")</f>
        <v/>
      </c>
      <c r="B49" s="255"/>
      <c r="C49" s="276"/>
      <c r="D49" s="276"/>
      <c r="E49" s="255"/>
      <c r="F49" s="255"/>
      <c r="G49" s="255"/>
      <c r="H49" s="255"/>
      <c r="I49" s="255"/>
      <c r="J49" s="255"/>
      <c r="K49" s="255"/>
      <c r="L49" s="255"/>
    </row>
    <row r="50" spans="1:12">
      <c r="A50" t="str">
        <f>IF(ABS(G50)&gt;0,基础信息!$B$1,"")</f>
        <v/>
      </c>
      <c r="B50" s="255"/>
      <c r="C50" s="276"/>
      <c r="D50" s="276"/>
      <c r="E50" s="255"/>
      <c r="F50" s="255"/>
      <c r="G50" s="255"/>
      <c r="H50" s="255"/>
      <c r="I50" s="255"/>
      <c r="J50" s="255"/>
      <c r="K50" s="255"/>
      <c r="L50" s="255"/>
    </row>
    <row r="51" spans="1:12">
      <c r="A51" t="str">
        <f>IF(ABS(G51)&gt;0,基础信息!$B$1,"")</f>
        <v/>
      </c>
      <c r="B51" s="255"/>
      <c r="C51" s="276"/>
      <c r="D51" s="276"/>
      <c r="E51" s="255"/>
      <c r="F51" s="255"/>
      <c r="G51" s="255"/>
      <c r="H51" s="255"/>
      <c r="I51" s="255"/>
      <c r="J51" s="255"/>
      <c r="K51" s="255"/>
      <c r="L51" s="255"/>
    </row>
    <row r="52" spans="1:12">
      <c r="A52" t="str">
        <f>IF(ABS(G52)&gt;0,基础信息!$B$1,"")</f>
        <v/>
      </c>
      <c r="B52" s="255"/>
      <c r="C52" s="276"/>
      <c r="D52" s="276"/>
      <c r="E52" s="255"/>
      <c r="F52" s="255"/>
      <c r="G52" s="255"/>
      <c r="H52" s="255"/>
      <c r="I52" s="255"/>
      <c r="J52" s="255"/>
      <c r="K52" s="255"/>
      <c r="L52" s="255"/>
    </row>
    <row r="53" spans="1:12">
      <c r="A53" t="str">
        <f>IF(ABS(G53)&gt;0,基础信息!$B$1,"")</f>
        <v/>
      </c>
      <c r="B53" s="255"/>
      <c r="C53" s="276"/>
      <c r="D53" s="276"/>
      <c r="E53" s="255"/>
      <c r="F53" s="255"/>
      <c r="G53" s="255"/>
      <c r="H53" s="255"/>
      <c r="I53" s="255"/>
      <c r="J53" s="255"/>
      <c r="K53" s="255"/>
      <c r="L53" s="255"/>
    </row>
    <row r="54" spans="1:12">
      <c r="A54" t="str">
        <f>IF(ABS(G54)&gt;0,基础信息!$B$1,"")</f>
        <v/>
      </c>
      <c r="B54" s="255"/>
      <c r="C54" s="276"/>
      <c r="D54" s="276"/>
      <c r="E54" s="255"/>
      <c r="F54" s="255"/>
      <c r="G54" s="255"/>
      <c r="H54" s="255"/>
      <c r="I54" s="255"/>
      <c r="J54" s="255"/>
      <c r="K54" s="255"/>
      <c r="L54" s="255"/>
    </row>
    <row r="55" spans="1:12">
      <c r="A55" t="str">
        <f>IF(ABS(G55)&gt;0,基础信息!$B$1,"")</f>
        <v/>
      </c>
      <c r="B55" s="255"/>
      <c r="C55" s="276"/>
      <c r="D55" s="276"/>
      <c r="E55" s="255"/>
      <c r="F55" s="255"/>
      <c r="G55" s="255"/>
      <c r="H55" s="255"/>
      <c r="I55" s="255"/>
      <c r="J55" s="255"/>
      <c r="K55" s="255"/>
      <c r="L55" s="255"/>
    </row>
    <row r="56" spans="1:12">
      <c r="A56" t="str">
        <f>IF(ABS(G56)&gt;0,基础信息!$B$1,"")</f>
        <v/>
      </c>
      <c r="B56" s="255"/>
      <c r="C56" s="276"/>
      <c r="D56" s="276"/>
      <c r="E56" s="255"/>
      <c r="F56" s="255"/>
      <c r="G56" s="255"/>
      <c r="H56" s="255"/>
      <c r="I56" s="255"/>
      <c r="J56" s="255"/>
      <c r="K56" s="255"/>
      <c r="L56" s="255"/>
    </row>
    <row r="57" spans="1:12">
      <c r="A57" t="str">
        <f>IF(ABS(G57)&gt;0,基础信息!$B$1,"")</f>
        <v/>
      </c>
      <c r="B57" s="255"/>
      <c r="C57" s="276"/>
      <c r="D57" s="276"/>
      <c r="E57" s="255"/>
      <c r="F57" s="255"/>
      <c r="G57" s="255"/>
      <c r="H57" s="255"/>
      <c r="I57" s="255"/>
      <c r="J57" s="255"/>
      <c r="K57" s="255"/>
      <c r="L57" s="255"/>
    </row>
    <row r="58" spans="1:12">
      <c r="A58" t="str">
        <f>IF(ABS(G58)&gt;0,基础信息!$B$1,"")</f>
        <v/>
      </c>
      <c r="B58" s="255"/>
      <c r="C58" s="276"/>
      <c r="D58" s="276"/>
      <c r="E58" s="255"/>
      <c r="F58" s="255"/>
      <c r="G58" s="255"/>
      <c r="H58" s="255"/>
      <c r="I58" s="255"/>
      <c r="J58" s="255"/>
      <c r="K58" s="255"/>
      <c r="L58" s="255"/>
    </row>
    <row r="59" spans="1:12">
      <c r="A59" t="str">
        <f>IF(ABS(G59)&gt;0,基础信息!$B$1,"")</f>
        <v/>
      </c>
      <c r="B59" s="255"/>
      <c r="C59" s="276"/>
      <c r="D59" s="276"/>
      <c r="E59" s="255"/>
      <c r="F59" s="255"/>
      <c r="G59" s="255"/>
      <c r="H59" s="255"/>
      <c r="I59" s="255"/>
      <c r="J59" s="255"/>
      <c r="K59" s="255"/>
      <c r="L59" s="255"/>
    </row>
    <row r="60" spans="1:12">
      <c r="A60" t="str">
        <f>IF(ABS(G60)&gt;0,基础信息!$B$1,"")</f>
        <v/>
      </c>
      <c r="B60" s="255"/>
      <c r="C60" s="276"/>
      <c r="D60" s="276"/>
      <c r="E60" s="255"/>
      <c r="F60" s="255"/>
      <c r="G60" s="255"/>
      <c r="H60" s="255"/>
      <c r="I60" s="255"/>
      <c r="J60" s="255"/>
      <c r="K60" s="255"/>
      <c r="L60" s="255"/>
    </row>
    <row r="61" spans="1:12">
      <c r="A61" t="str">
        <f>IF(ABS(G61)&gt;0,基础信息!$B$1,"")</f>
        <v/>
      </c>
      <c r="B61" s="255"/>
      <c r="C61" s="276"/>
      <c r="D61" s="276"/>
      <c r="E61" s="255"/>
      <c r="F61" s="255"/>
      <c r="G61" s="255"/>
      <c r="H61" s="255"/>
      <c r="I61" s="255"/>
      <c r="J61" s="255"/>
      <c r="K61" s="255"/>
      <c r="L61" s="255"/>
    </row>
    <row r="62" spans="1:12">
      <c r="A62" t="str">
        <f>IF(ABS(G62)&gt;0,基础信息!$B$1,"")</f>
        <v/>
      </c>
      <c r="B62" s="255"/>
      <c r="C62" s="276"/>
      <c r="D62" s="276"/>
      <c r="E62" s="255"/>
      <c r="F62" s="255"/>
      <c r="G62" s="255"/>
      <c r="H62" s="255"/>
      <c r="I62" s="255"/>
      <c r="J62" s="255"/>
      <c r="K62" s="255"/>
      <c r="L62" s="255"/>
    </row>
    <row r="63" spans="1:12">
      <c r="A63" t="str">
        <f>IF(ABS(G63)&gt;0,基础信息!$B$1,"")</f>
        <v/>
      </c>
      <c r="B63" s="255"/>
      <c r="C63" s="276"/>
      <c r="D63" s="276"/>
      <c r="E63" s="255"/>
      <c r="F63" s="255"/>
      <c r="G63" s="255"/>
      <c r="H63" s="255"/>
      <c r="I63" s="255"/>
      <c r="J63" s="255"/>
      <c r="K63" s="255"/>
      <c r="L63" s="255"/>
    </row>
    <row r="64" spans="1:12">
      <c r="A64" t="str">
        <f>IF(ABS(G64)&gt;0,基础信息!$B$1,"")</f>
        <v/>
      </c>
      <c r="B64" s="255"/>
      <c r="C64" s="276"/>
      <c r="D64" s="276"/>
      <c r="E64" s="255"/>
      <c r="F64" s="255"/>
      <c r="G64" s="255"/>
      <c r="H64" s="255"/>
      <c r="I64" s="255"/>
      <c r="J64" s="255"/>
      <c r="K64" s="255"/>
      <c r="L64" s="255"/>
    </row>
    <row r="65" spans="1:12">
      <c r="A65" t="str">
        <f>IF(ABS(G65)&gt;0,基础信息!$B$1,"")</f>
        <v/>
      </c>
      <c r="B65" s="255"/>
      <c r="C65" s="276"/>
      <c r="D65" s="276"/>
      <c r="E65" s="255"/>
      <c r="F65" s="255"/>
      <c r="G65" s="255"/>
      <c r="H65" s="255"/>
      <c r="I65" s="255"/>
      <c r="J65" s="255"/>
      <c r="K65" s="255"/>
      <c r="L65" s="255"/>
    </row>
    <row r="66" spans="1:12">
      <c r="A66" t="str">
        <f>IF(ABS(G66)&gt;0,基础信息!$B$1,"")</f>
        <v/>
      </c>
      <c r="B66" s="255"/>
      <c r="C66" s="276"/>
      <c r="D66" s="276"/>
      <c r="E66" s="255"/>
      <c r="F66" s="255"/>
      <c r="G66" s="255"/>
      <c r="H66" s="255"/>
      <c r="I66" s="255"/>
      <c r="J66" s="255"/>
      <c r="K66" s="255"/>
      <c r="L66" s="255"/>
    </row>
    <row r="67" spans="1:12">
      <c r="A67" t="str">
        <f>IF(ABS(G67)&gt;0,基础信息!$B$1,"")</f>
        <v/>
      </c>
      <c r="B67" s="255"/>
      <c r="C67" s="276"/>
      <c r="D67" s="276"/>
      <c r="E67" s="255"/>
      <c r="F67" s="255"/>
      <c r="G67" s="255"/>
      <c r="H67" s="255"/>
      <c r="I67" s="255"/>
      <c r="J67" s="255"/>
      <c r="K67" s="255"/>
      <c r="L67" s="255"/>
    </row>
    <row r="68" spans="1:12">
      <c r="A68" t="str">
        <f>IF(ABS(G68)&gt;0,基础信息!$B$1,"")</f>
        <v/>
      </c>
      <c r="B68" s="255"/>
      <c r="C68" s="276"/>
      <c r="D68" s="276"/>
      <c r="E68" s="255"/>
      <c r="F68" s="255"/>
      <c r="G68" s="255"/>
      <c r="H68" s="255"/>
      <c r="I68" s="255"/>
      <c r="J68" s="255"/>
      <c r="K68" s="255"/>
      <c r="L68" s="255"/>
    </row>
    <row r="69" spans="1:12">
      <c r="A69" t="str">
        <f>IF(ABS(G69)&gt;0,基础信息!$B$1,"")</f>
        <v/>
      </c>
      <c r="B69" s="255"/>
      <c r="C69" s="276"/>
      <c r="D69" s="276"/>
      <c r="E69" s="255"/>
      <c r="F69" s="255"/>
      <c r="G69" s="255"/>
      <c r="H69" s="255"/>
      <c r="I69" s="255"/>
      <c r="J69" s="255"/>
      <c r="K69" s="255"/>
      <c r="L69" s="255"/>
    </row>
    <row r="70" spans="1:12">
      <c r="A70" t="str">
        <f>IF(ABS(G70)&gt;0,基础信息!$B$1,"")</f>
        <v/>
      </c>
      <c r="B70" s="255"/>
      <c r="C70" s="276"/>
      <c r="D70" s="276"/>
      <c r="E70" s="255"/>
      <c r="F70" s="255"/>
      <c r="G70" s="255"/>
      <c r="H70" s="255"/>
      <c r="I70" s="255"/>
      <c r="J70" s="255"/>
      <c r="K70" s="255"/>
      <c r="L70" s="255"/>
    </row>
    <row r="71" spans="1:12">
      <c r="A71" t="str">
        <f>IF(ABS(G71)&gt;0,基础信息!$B$1,"")</f>
        <v/>
      </c>
      <c r="B71" s="255"/>
      <c r="C71" s="276"/>
      <c r="D71" s="276"/>
      <c r="E71" s="255"/>
      <c r="F71" s="255"/>
      <c r="G71" s="255"/>
      <c r="H71" s="255"/>
      <c r="I71" s="255"/>
      <c r="J71" s="255"/>
      <c r="K71" s="255"/>
      <c r="L71" s="255"/>
    </row>
    <row r="72" spans="1:12">
      <c r="A72" t="str">
        <f>IF(ABS(G72)&gt;0,基础信息!$B$1,"")</f>
        <v/>
      </c>
      <c r="B72" s="255"/>
      <c r="C72" s="276"/>
      <c r="D72" s="276"/>
      <c r="E72" s="255"/>
      <c r="F72" s="255"/>
      <c r="G72" s="255"/>
      <c r="H72" s="255"/>
      <c r="I72" s="255"/>
      <c r="J72" s="255"/>
      <c r="K72" s="255"/>
      <c r="L72" s="255"/>
    </row>
    <row r="73" spans="1:12">
      <c r="A73" t="str">
        <f>IF(ABS(G73)&gt;0,基础信息!$B$1,"")</f>
        <v/>
      </c>
      <c r="B73" s="255"/>
      <c r="C73" s="276"/>
      <c r="D73" s="276"/>
      <c r="E73" s="255"/>
      <c r="F73" s="255"/>
      <c r="G73" s="255"/>
      <c r="H73" s="255"/>
      <c r="I73" s="255"/>
      <c r="J73" s="255"/>
      <c r="K73" s="255"/>
      <c r="L73" s="255"/>
    </row>
    <row r="74" spans="1:12">
      <c r="A74" t="str">
        <f>IF(ABS(G74)&gt;0,基础信息!$B$1,"")</f>
        <v/>
      </c>
      <c r="B74" s="255"/>
      <c r="C74" s="276"/>
      <c r="D74" s="276"/>
      <c r="E74" s="255"/>
      <c r="F74" s="255"/>
      <c r="G74" s="255"/>
      <c r="H74" s="255"/>
      <c r="I74" s="255"/>
      <c r="J74" s="255"/>
      <c r="K74" s="255"/>
      <c r="L74" s="255"/>
    </row>
    <row r="75" spans="1:12">
      <c r="A75" t="str">
        <f>IF(ABS(G75)&gt;0,基础信息!$B$1,"")</f>
        <v/>
      </c>
      <c r="B75" s="255"/>
      <c r="C75" s="276"/>
      <c r="D75" s="276"/>
      <c r="E75" s="255"/>
      <c r="F75" s="255"/>
      <c r="G75" s="255"/>
      <c r="H75" s="255"/>
      <c r="I75" s="255"/>
      <c r="J75" s="255"/>
      <c r="K75" s="255"/>
      <c r="L75" s="255"/>
    </row>
    <row r="76" spans="1:12">
      <c r="A76" t="str">
        <f>IF(ABS(G76)&gt;0,基础信息!$B$1,"")</f>
        <v/>
      </c>
      <c r="B76" s="255"/>
      <c r="C76" s="276"/>
      <c r="D76" s="276"/>
      <c r="E76" s="255"/>
      <c r="F76" s="255"/>
      <c r="G76" s="255"/>
      <c r="H76" s="255"/>
      <c r="I76" s="255"/>
      <c r="J76" s="255"/>
      <c r="K76" s="255"/>
      <c r="L76" s="255"/>
    </row>
    <row r="77" spans="1:12">
      <c r="A77" t="str">
        <f>IF(ABS(G77)&gt;0,基础信息!$B$1,"")</f>
        <v/>
      </c>
      <c r="B77" s="255"/>
      <c r="C77" s="276"/>
      <c r="D77" s="276"/>
      <c r="E77" s="255"/>
      <c r="F77" s="255"/>
      <c r="G77" s="255"/>
      <c r="H77" s="255"/>
      <c r="I77" s="255"/>
      <c r="J77" s="255"/>
      <c r="K77" s="255"/>
      <c r="L77" s="255"/>
    </row>
    <row r="78" spans="1:12">
      <c r="A78" t="str">
        <f>IF(ABS(G78)&gt;0,基础信息!$B$1,"")</f>
        <v/>
      </c>
      <c r="B78" s="255"/>
      <c r="C78" s="276"/>
      <c r="D78" s="276"/>
      <c r="E78" s="255"/>
      <c r="F78" s="255"/>
      <c r="G78" s="255"/>
      <c r="H78" s="255"/>
      <c r="I78" s="255"/>
      <c r="J78" s="255"/>
      <c r="K78" s="255"/>
      <c r="L78" s="255"/>
    </row>
    <row r="79" spans="1:12">
      <c r="A79" t="str">
        <f>IF(ABS(G79)&gt;0,基础信息!$B$1,"")</f>
        <v/>
      </c>
      <c r="B79" s="255"/>
      <c r="C79" s="276"/>
      <c r="D79" s="276"/>
      <c r="E79" s="255"/>
      <c r="F79" s="255"/>
      <c r="G79" s="255"/>
      <c r="H79" s="255"/>
      <c r="I79" s="255"/>
      <c r="J79" s="255"/>
      <c r="K79" s="255"/>
      <c r="L79" s="255"/>
    </row>
    <row r="80" spans="1:12">
      <c r="A80" t="str">
        <f>IF(ABS(G80)&gt;0,基础信息!$B$1,"")</f>
        <v/>
      </c>
      <c r="B80" s="255"/>
      <c r="C80" s="276"/>
      <c r="D80" s="276"/>
      <c r="E80" s="255"/>
      <c r="F80" s="255"/>
      <c r="G80" s="255"/>
      <c r="H80" s="255"/>
      <c r="I80" s="255"/>
      <c r="J80" s="255"/>
      <c r="K80" s="255"/>
      <c r="L80" s="255"/>
    </row>
    <row r="81" spans="1:12">
      <c r="A81" t="str">
        <f>IF(ABS(G81)&gt;0,基础信息!$B$1,"")</f>
        <v/>
      </c>
      <c r="B81" s="255"/>
      <c r="C81" s="276"/>
      <c r="D81" s="276"/>
      <c r="E81" s="255"/>
      <c r="F81" s="255"/>
      <c r="G81" s="255"/>
      <c r="H81" s="255"/>
      <c r="I81" s="255"/>
      <c r="J81" s="255"/>
      <c r="K81" s="255"/>
      <c r="L81" s="255"/>
    </row>
    <row r="82" spans="1:12">
      <c r="A82" t="str">
        <f>IF(ABS(G82)&gt;0,基础信息!$B$1,"")</f>
        <v/>
      </c>
      <c r="B82" s="255"/>
      <c r="C82" s="276"/>
      <c r="D82" s="276"/>
      <c r="E82" s="255"/>
      <c r="F82" s="255"/>
      <c r="G82" s="255"/>
      <c r="H82" s="255"/>
      <c r="I82" s="255"/>
      <c r="J82" s="255"/>
      <c r="K82" s="255"/>
      <c r="L82" s="255"/>
    </row>
    <row r="83" spans="1:12">
      <c r="A83" t="str">
        <f>IF(ABS(G83)&gt;0,基础信息!$B$1,"")</f>
        <v/>
      </c>
      <c r="B83" s="255"/>
      <c r="C83" s="276"/>
      <c r="D83" s="276"/>
      <c r="E83" s="255"/>
      <c r="F83" s="255"/>
      <c r="G83" s="255"/>
      <c r="H83" s="255"/>
      <c r="I83" s="255"/>
      <c r="J83" s="255"/>
      <c r="K83" s="255"/>
      <c r="L83" s="255"/>
    </row>
    <row r="84" spans="1:12">
      <c r="A84" t="str">
        <f>IF(ABS(G84)&gt;0,基础信息!$B$1,"")</f>
        <v/>
      </c>
      <c r="B84" s="255"/>
      <c r="C84" s="276"/>
      <c r="D84" s="276"/>
      <c r="E84" s="255"/>
      <c r="F84" s="255"/>
      <c r="G84" s="255"/>
      <c r="H84" s="255"/>
      <c r="I84" s="255"/>
      <c r="J84" s="255"/>
      <c r="K84" s="255"/>
      <c r="L84" s="255"/>
    </row>
    <row r="85" spans="1:12">
      <c r="A85" t="str">
        <f>IF(ABS(G85)&gt;0,基础信息!$B$1,"")</f>
        <v/>
      </c>
      <c r="B85" s="255"/>
      <c r="C85" s="276"/>
      <c r="D85" s="276"/>
      <c r="E85" s="255"/>
      <c r="F85" s="255"/>
      <c r="G85" s="255"/>
      <c r="H85" s="255"/>
      <c r="I85" s="255"/>
      <c r="J85" s="255"/>
      <c r="K85" s="255"/>
      <c r="L85" s="255"/>
    </row>
    <row r="86" spans="1:12">
      <c r="A86" t="str">
        <f>IF(ABS(G86)&gt;0,基础信息!$B$1,"")</f>
        <v/>
      </c>
      <c r="B86" s="255"/>
      <c r="C86" s="276"/>
      <c r="D86" s="276"/>
      <c r="E86" s="255"/>
      <c r="F86" s="255"/>
      <c r="G86" s="255"/>
      <c r="H86" s="255"/>
      <c r="I86" s="255"/>
      <c r="J86" s="255"/>
      <c r="K86" s="255"/>
      <c r="L86" s="255"/>
    </row>
    <row r="87" spans="1:12">
      <c r="A87" t="str">
        <f>IF(ABS(G87)&gt;0,基础信息!$B$1,"")</f>
        <v/>
      </c>
      <c r="B87" s="255"/>
      <c r="C87" s="276"/>
      <c r="D87" s="276"/>
      <c r="E87" s="255"/>
      <c r="F87" s="255"/>
      <c r="G87" s="255"/>
      <c r="H87" s="255"/>
      <c r="I87" s="255"/>
      <c r="J87" s="255"/>
      <c r="K87" s="255"/>
      <c r="L87" s="255"/>
    </row>
    <row r="88" spans="1:12">
      <c r="A88" t="str">
        <f>IF(ABS(G88)&gt;0,基础信息!$B$1,"")</f>
        <v/>
      </c>
    </row>
    <row r="89" spans="1:12">
      <c r="A89" t="str">
        <f>IF(ABS(G89)&gt;0,基础信息!$B$1,"")</f>
        <v/>
      </c>
    </row>
    <row r="90" spans="1:12">
      <c r="A90" t="str">
        <f>IF(ABS(G90)&gt;0,基础信息!$B$1,"")</f>
        <v/>
      </c>
    </row>
    <row r="91" spans="1:12">
      <c r="A91" t="str">
        <f>IF(ABS(G91)&gt;0,基础信息!$B$1,"")</f>
        <v/>
      </c>
    </row>
    <row r="92" spans="1:12">
      <c r="A92" t="str">
        <f>IF(ABS(G92)&gt;0,基础信息!$B$1,"")</f>
        <v/>
      </c>
    </row>
    <row r="93" spans="1:12">
      <c r="A93" t="str">
        <f>IF(ABS(G93)&gt;0,基础信息!$B$1,"")</f>
        <v/>
      </c>
    </row>
    <row r="94" spans="1:12">
      <c r="A94" t="str">
        <f>IF(ABS(G94)&gt;0,基础信息!$B$1,"")</f>
        <v/>
      </c>
    </row>
    <row r="95" spans="1:12">
      <c r="A95" t="str">
        <f>IF(ABS(G95)&gt;0,基础信息!$B$1,"")</f>
        <v/>
      </c>
    </row>
    <row r="96" spans="1:12">
      <c r="A96" t="str">
        <f>IF(ABS(G96)&gt;0,基础信息!$B$1,"")</f>
        <v/>
      </c>
    </row>
    <row r="97" spans="1:1">
      <c r="A97" t="str">
        <f>IF(ABS(G97)&gt;0,基础信息!$B$1,"")</f>
        <v/>
      </c>
    </row>
    <row r="98" spans="1:1">
      <c r="A98" t="str">
        <f>IF(ABS(G98)&gt;0,基础信息!$B$1,"")</f>
        <v/>
      </c>
    </row>
    <row r="99" spans="1:1">
      <c r="A99" t="str">
        <f>IF(ABS(G99)&gt;0,基础信息!$B$1,"")</f>
        <v/>
      </c>
    </row>
    <row r="100" spans="1:1">
      <c r="A100" t="str">
        <f>IF(ABS(G100)&gt;0,基础信息!$B$1,"")</f>
        <v/>
      </c>
    </row>
    <row r="101" spans="1:1">
      <c r="A101" t="str">
        <f>IF(ABS(G101)&gt;0,基础信息!$B$1,"")</f>
        <v/>
      </c>
    </row>
    <row r="102" spans="1:1">
      <c r="A102" t="str">
        <f>IF(ABS(G102)&gt;0,基础信息!$B$1,"")</f>
        <v/>
      </c>
    </row>
    <row r="103" spans="1:1">
      <c r="A103" t="str">
        <f>IF(ABS(G103)&gt;0,基础信息!$B$1,"")</f>
        <v/>
      </c>
    </row>
    <row r="104" spans="1:1">
      <c r="A104" t="str">
        <f>IF(ABS(G104)&gt;0,基础信息!$B$1,"")</f>
        <v/>
      </c>
    </row>
    <row r="105" spans="1:1">
      <c r="A105" t="str">
        <f>IF(ABS(G105)&gt;0,基础信息!$B$1,"")</f>
        <v/>
      </c>
    </row>
    <row r="106" spans="1:1">
      <c r="A106" t="str">
        <f>IF(ABS(G106)&gt;0,基础信息!$B$1,"")</f>
        <v/>
      </c>
    </row>
    <row r="107" spans="1:1">
      <c r="A107" t="str">
        <f>IF(ABS(G107)&gt;0,基础信息!$B$1,"")</f>
        <v/>
      </c>
    </row>
    <row r="108" spans="1:1">
      <c r="A108" t="str">
        <f>IF(ABS(G108)&gt;0,基础信息!$B$1,"")</f>
        <v/>
      </c>
    </row>
    <row r="109" spans="1:1">
      <c r="A109" t="str">
        <f>IF(ABS(G109)&gt;0,基础信息!$B$1,"")</f>
        <v/>
      </c>
    </row>
    <row r="110" spans="1:1">
      <c r="A110" t="str">
        <f>IF(ABS(G110)&gt;0,基础信息!$B$1,"")</f>
        <v/>
      </c>
    </row>
    <row r="111" spans="1:1">
      <c r="A111" t="str">
        <f>IF(ABS(G111)&gt;0,基础信息!$B$1,"")</f>
        <v/>
      </c>
    </row>
    <row r="112" spans="1:1">
      <c r="A112" t="str">
        <f>IF(ABS(G112)&gt;0,基础信息!$B$1,"")</f>
        <v/>
      </c>
    </row>
    <row r="113" spans="1:1">
      <c r="A113" t="str">
        <f>IF(ABS(G113)&gt;0,基础信息!$B$1,"")</f>
        <v/>
      </c>
    </row>
    <row r="114" spans="1:1">
      <c r="A114" t="str">
        <f>IF(ABS(G114)&gt;0,基础信息!$B$1,"")</f>
        <v/>
      </c>
    </row>
    <row r="115" spans="1:1">
      <c r="A115" t="str">
        <f>IF(ABS(G115)&gt;0,基础信息!$B$1,"")</f>
        <v/>
      </c>
    </row>
    <row r="116" spans="1:1">
      <c r="A116" t="str">
        <f>IF(ABS(G116)&gt;0,基础信息!$B$1,"")</f>
        <v/>
      </c>
    </row>
    <row r="117" spans="1:1">
      <c r="A117" t="str">
        <f>IF(ABS(G117)&gt;0,基础信息!$B$1,"")</f>
        <v/>
      </c>
    </row>
    <row r="118" spans="1:1">
      <c r="A118" t="str">
        <f>IF(ABS(G118)&gt;0,基础信息!$B$1,"")</f>
        <v/>
      </c>
    </row>
    <row r="119" spans="1:1">
      <c r="A119" t="str">
        <f>IF(ABS(G119)&gt;0,基础信息!$B$1,"")</f>
        <v/>
      </c>
    </row>
    <row r="120" spans="1:1">
      <c r="A120" t="str">
        <f>IF(ABS(G120)&gt;0,基础信息!$B$1,"")</f>
        <v/>
      </c>
    </row>
    <row r="121" spans="1:1">
      <c r="A121" t="str">
        <f>IF(ABS(G121)&gt;0,基础信息!$B$1,"")</f>
        <v/>
      </c>
    </row>
    <row r="122" spans="1:1">
      <c r="A122" t="str">
        <f>IF(ABS(G122)&gt;0,基础信息!$B$1,"")</f>
        <v/>
      </c>
    </row>
    <row r="123" spans="1:1">
      <c r="A123" t="str">
        <f>IF(ABS(G123)&gt;0,基础信息!$B$1,"")</f>
        <v/>
      </c>
    </row>
    <row r="124" spans="1:1">
      <c r="A124" t="str">
        <f>IF(ABS(G124)&gt;0,基础信息!$B$1,"")</f>
        <v/>
      </c>
    </row>
    <row r="125" spans="1:1">
      <c r="A125" t="str">
        <f>IF(ABS(G125)&gt;0,基础信息!$B$1,"")</f>
        <v/>
      </c>
    </row>
    <row r="126" spans="1:1">
      <c r="A126" t="str">
        <f>IF(ABS(G126)&gt;0,基础信息!$B$1,"")</f>
        <v/>
      </c>
    </row>
    <row r="127" spans="1:1">
      <c r="A127" t="str">
        <f>IF(ABS(G127)&gt;0,基础信息!$B$1,"")</f>
        <v/>
      </c>
    </row>
    <row r="128" spans="1:1">
      <c r="A128" t="str">
        <f>IF(ABS(G128)&gt;0,基础信息!$B$1,"")</f>
        <v/>
      </c>
    </row>
    <row r="129" spans="1:1">
      <c r="A129" t="str">
        <f>IF(ABS(G129)&gt;0,基础信息!$B$1,"")</f>
        <v/>
      </c>
    </row>
    <row r="130" spans="1:1">
      <c r="A130" t="str">
        <f>IF(ABS(G130)&gt;0,基础信息!$B$1,"")</f>
        <v/>
      </c>
    </row>
    <row r="131" spans="1:1">
      <c r="A131" t="str">
        <f>IF(ABS(G131)&gt;0,基础信息!$B$1,"")</f>
        <v/>
      </c>
    </row>
    <row r="132" spans="1:1">
      <c r="A132" t="str">
        <f>IF(ABS(G132)&gt;0,基础信息!$B$1,"")</f>
        <v/>
      </c>
    </row>
    <row r="133" spans="1:1">
      <c r="A133" t="str">
        <f>IF(ABS(G133)&gt;0,基础信息!$B$1,"")</f>
        <v/>
      </c>
    </row>
    <row r="134" spans="1:1">
      <c r="A134" t="str">
        <f>IF(ABS(G134)&gt;0,基础信息!$B$1,"")</f>
        <v/>
      </c>
    </row>
    <row r="135" spans="1:1">
      <c r="A135" t="str">
        <f>IF(ABS(G135)&gt;0,基础信息!$B$1,"")</f>
        <v/>
      </c>
    </row>
    <row r="136" spans="1:1">
      <c r="A136" t="str">
        <f>IF(ABS(G136)&gt;0,基础信息!$B$1,"")</f>
        <v/>
      </c>
    </row>
    <row r="137" spans="1:1">
      <c r="A137" t="str">
        <f>IF(ABS(G137)&gt;0,基础信息!$B$1,"")</f>
        <v/>
      </c>
    </row>
    <row r="138" spans="1:1">
      <c r="A138" t="str">
        <f>IF(ABS(G138)&gt;0,基础信息!$B$1,"")</f>
        <v/>
      </c>
    </row>
    <row r="139" spans="1:1">
      <c r="A139" t="str">
        <f>IF(ABS(G139)&gt;0,基础信息!$B$1,"")</f>
        <v/>
      </c>
    </row>
    <row r="140" spans="1:1">
      <c r="A140" t="str">
        <f>IF(ABS(G140)&gt;0,基础信息!$B$1,"")</f>
        <v/>
      </c>
    </row>
    <row r="141" spans="1:1">
      <c r="A141" t="str">
        <f>IF(ABS(G141)&gt;0,基础信息!$B$1,"")</f>
        <v/>
      </c>
    </row>
    <row r="142" spans="1:1">
      <c r="A142" t="str">
        <f>IF(ABS(G142)&gt;0,基础信息!$B$1,"")</f>
        <v/>
      </c>
    </row>
    <row r="143" spans="1:1">
      <c r="A143" t="str">
        <f>IF(ABS(G143)&gt;0,基础信息!$B$1,"")</f>
        <v/>
      </c>
    </row>
    <row r="144" spans="1:1">
      <c r="A144" t="str">
        <f>IF(ABS(G144)&gt;0,基础信息!$B$1,"")</f>
        <v/>
      </c>
    </row>
    <row r="145" spans="1:1">
      <c r="A145" t="str">
        <f>IF(ABS(G145)&gt;0,基础信息!$B$1,"")</f>
        <v/>
      </c>
    </row>
    <row r="146" spans="1:1">
      <c r="A146" t="str">
        <f>IF(ABS(G146)&gt;0,基础信息!$B$1,"")</f>
        <v/>
      </c>
    </row>
    <row r="147" spans="1:1">
      <c r="A147" t="str">
        <f>IF(ABS(G147)&gt;0,基础信息!$B$1,"")</f>
        <v/>
      </c>
    </row>
    <row r="148" spans="1:1">
      <c r="A148" t="str">
        <f>IF(ABS(G148)&gt;0,基础信息!$B$1,"")</f>
        <v/>
      </c>
    </row>
    <row r="149" spans="1:1">
      <c r="A149" t="str">
        <f>IF(ABS(G149)&gt;0,基础信息!$B$1,"")</f>
        <v/>
      </c>
    </row>
    <row r="150" spans="1:1">
      <c r="A150" t="str">
        <f>IF(ABS(G150)&gt;0,基础信息!$B$1,"")</f>
        <v/>
      </c>
    </row>
    <row r="151" spans="1:1">
      <c r="A151" t="str">
        <f>IF(ABS(G151)&gt;0,基础信息!$B$1,"")</f>
        <v/>
      </c>
    </row>
    <row r="152" spans="1:1">
      <c r="A152" t="str">
        <f>IF(ABS(G152)&gt;0,基础信息!$B$1,"")</f>
        <v/>
      </c>
    </row>
    <row r="153" spans="1:1">
      <c r="A153" t="str">
        <f>IF(ABS(G153)&gt;0,基础信息!$B$1,"")</f>
        <v/>
      </c>
    </row>
    <row r="154" spans="1:1">
      <c r="A154" t="str">
        <f>IF(ABS(G154)&gt;0,基础信息!$B$1,"")</f>
        <v/>
      </c>
    </row>
    <row r="155" spans="1:1">
      <c r="A155" t="str">
        <f>IF(ABS(G155)&gt;0,基础信息!$B$1,"")</f>
        <v/>
      </c>
    </row>
    <row r="156" spans="1:1">
      <c r="A156" t="str">
        <f>IF(ABS(G156)&gt;0,基础信息!$B$1,"")</f>
        <v/>
      </c>
    </row>
    <row r="157" spans="1:1">
      <c r="A157" t="str">
        <f>IF(ABS(G157)&gt;0,基础信息!$B$1,"")</f>
        <v/>
      </c>
    </row>
    <row r="158" spans="1:1">
      <c r="A158" t="str">
        <f>IF(ABS(G158)&gt;0,基础信息!$B$1,"")</f>
        <v/>
      </c>
    </row>
    <row r="159" spans="1:1">
      <c r="A159" t="str">
        <f>IF(ABS(G159)&gt;0,基础信息!$B$1,"")</f>
        <v/>
      </c>
    </row>
    <row r="160" spans="1:1">
      <c r="A160" t="str">
        <f>IF(ABS(G160)&gt;0,基础信息!$B$1,"")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7169D34-6618-4074-ADCA-0F686D3D1DE1}">
          <x14:formula1>
            <xm:f>分类表!$7:$7</xm:f>
          </x14:formula1>
          <xm:sqref>C2:C87</xm:sqref>
        </x14:dataValidation>
        <x14:dataValidation type="list" allowBlank="1" showInputMessage="1" showErrorMessage="1" xr:uid="{7354CCB6-1C73-4AEB-80C0-D0D5EDC80A3C}">
          <x14:formula1>
            <xm:f>分类表!$71:$71</xm:f>
          </x14:formula1>
          <xm:sqref>D2:D87</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sheetPr codeName="Sheet70">
    <tabColor rgb="FFFFC000"/>
  </sheetPr>
  <dimension ref="A1:B4"/>
  <sheetViews>
    <sheetView workbookViewId="0">
      <selection activeCell="I23" sqref="I23"/>
    </sheetView>
  </sheetViews>
  <sheetFormatPr defaultRowHeight="13.8"/>
  <cols>
    <col min="1" max="1" width="13.88671875" style="70" bestFit="1" customWidth="1"/>
    <col min="2" max="2" width="24.21875" style="1" customWidth="1"/>
    <col min="3" max="16384" width="8.88671875" style="18"/>
  </cols>
  <sheetData>
    <row r="1" spans="1:2" ht="14.4">
      <c r="A1" s="44" t="s">
        <v>205</v>
      </c>
      <c r="B1" s="153" t="s">
        <v>209</v>
      </c>
    </row>
    <row r="2" spans="1:2" ht="15">
      <c r="A2" s="529" t="s">
        <v>206</v>
      </c>
      <c r="B2" s="297">
        <f>ROUND(SUMIF(因出票人未履约而转为应收账款的票据明细表!C:C,因出票人未履约而转为应收账款的票据!A2,因出票人未履约而转为应收账款的票据明细表!F:F),2)</f>
        <v>0</v>
      </c>
    </row>
    <row r="3" spans="1:2" ht="15">
      <c r="A3" s="529" t="s">
        <v>207</v>
      </c>
      <c r="B3" s="297">
        <f>ROUND(SUMIF(因出票人未履约而转为应收账款的票据明细表!C:C,因出票人未履约而转为应收账款的票据!A3,因出票人未履约而转为应收账款的票据明细表!F:F),2)</f>
        <v>0</v>
      </c>
    </row>
    <row r="4" spans="1:2" ht="14.4">
      <c r="A4" s="44" t="s">
        <v>204</v>
      </c>
      <c r="B4" s="157">
        <f>ROUND(SUM(B2:B3),2)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F76BD8-56E5-4520-9CA3-FA68C4B3B500}">
          <x14:formula1>
            <xm:f>分类表!$7:$7</xm:f>
          </x14:formula1>
          <xm:sqref>A2:A3</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sheetPr codeName="Sheet71"/>
  <dimension ref="A1:G21"/>
  <sheetViews>
    <sheetView workbookViewId="0">
      <selection activeCell="L23" sqref="L23"/>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2383</v>
      </c>
      <c r="B1" t="s">
        <v>2381</v>
      </c>
      <c r="C1" t="s">
        <v>2382</v>
      </c>
      <c r="D1" t="s">
        <v>2380</v>
      </c>
      <c r="E1" t="s">
        <v>372</v>
      </c>
      <c r="F1" t="s">
        <v>183</v>
      </c>
      <c r="G1" t="s">
        <v>213</v>
      </c>
    </row>
    <row r="2" spans="1:7">
      <c r="A2" t="str">
        <f>IF(ABS(F2)&gt;0,基础信息!$B$1,"")</f>
        <v/>
      </c>
      <c r="B2" s="255"/>
      <c r="C2" s="276"/>
      <c r="D2" s="255"/>
      <c r="E2" s="255"/>
      <c r="F2" s="255"/>
      <c r="G2" s="255"/>
    </row>
    <row r="3" spans="1:7">
      <c r="A3" t="str">
        <f>IF(ABS(F3)&gt;0,基础信息!$B$1,"")</f>
        <v/>
      </c>
      <c r="B3" s="255"/>
      <c r="C3" s="276"/>
      <c r="D3" s="255"/>
      <c r="E3" s="255"/>
      <c r="F3" s="255"/>
      <c r="G3" s="255"/>
    </row>
    <row r="4" spans="1:7">
      <c r="A4" t="str">
        <f>IF(ABS(F4)&gt;0,基础信息!$B$1,"")</f>
        <v/>
      </c>
      <c r="B4" s="255"/>
      <c r="C4" s="276"/>
      <c r="D4" s="255"/>
      <c r="E4" s="255"/>
      <c r="F4" s="255"/>
      <c r="G4" s="255"/>
    </row>
    <row r="5" spans="1:7">
      <c r="A5" t="str">
        <f>IF(ABS(F5)&gt;0,基础信息!$B$1,"")</f>
        <v/>
      </c>
      <c r="B5" s="255"/>
      <c r="C5" s="276"/>
      <c r="D5" s="255"/>
      <c r="E5" s="255"/>
      <c r="F5" s="255"/>
      <c r="G5" s="255"/>
    </row>
    <row r="6" spans="1:7">
      <c r="A6" t="str">
        <f>IF(ABS(F6)&gt;0,基础信息!$B$1,"")</f>
        <v/>
      </c>
      <c r="B6" s="255"/>
      <c r="C6" s="276"/>
      <c r="D6" s="255"/>
      <c r="E6" s="255"/>
      <c r="F6" s="255"/>
      <c r="G6" s="255"/>
    </row>
    <row r="7" spans="1:7">
      <c r="A7" t="str">
        <f>IF(ABS(F7)&gt;0,基础信息!$B$1,"")</f>
        <v/>
      </c>
      <c r="B7" s="255"/>
      <c r="C7" s="276"/>
      <c r="D7" s="255"/>
      <c r="E7" s="255"/>
      <c r="F7" s="255"/>
      <c r="G7" s="255"/>
    </row>
    <row r="8" spans="1:7">
      <c r="A8" t="str">
        <f>IF(ABS(F8)&gt;0,基础信息!$B$1,"")</f>
        <v/>
      </c>
      <c r="B8" s="255"/>
      <c r="C8" s="276"/>
      <c r="D8" s="255"/>
      <c r="E8" s="255"/>
      <c r="F8" s="255"/>
      <c r="G8" s="255"/>
    </row>
    <row r="9" spans="1:7">
      <c r="A9" t="str">
        <f>IF(ABS(F9)&gt;0,基础信息!$B$1,"")</f>
        <v/>
      </c>
      <c r="B9" s="255"/>
      <c r="C9" s="276"/>
      <c r="D9" s="255"/>
      <c r="E9" s="255"/>
      <c r="F9" s="255"/>
      <c r="G9" s="255"/>
    </row>
    <row r="10" spans="1:7">
      <c r="A10" t="str">
        <f>IF(ABS(F10)&gt;0,基础信息!$B$1,"")</f>
        <v/>
      </c>
      <c r="B10" s="255"/>
      <c r="C10" s="276"/>
      <c r="D10" s="255"/>
      <c r="E10" s="255"/>
      <c r="F10" s="255"/>
      <c r="G10" s="255"/>
    </row>
    <row r="11" spans="1:7">
      <c r="A11" t="str">
        <f>IF(ABS(F11)&gt;0,基础信息!$B$1,"")</f>
        <v/>
      </c>
      <c r="B11" s="255"/>
      <c r="C11" s="276"/>
      <c r="D11" s="255"/>
      <c r="E11" s="255"/>
      <c r="F11" s="255"/>
      <c r="G11" s="255"/>
    </row>
    <row r="12" spans="1:7">
      <c r="A12" t="str">
        <f>IF(ABS(F12)&gt;0,基础信息!$B$1,"")</f>
        <v/>
      </c>
      <c r="B12" s="255"/>
      <c r="C12" s="276"/>
      <c r="D12" s="255"/>
      <c r="E12" s="255"/>
      <c r="F12" s="255"/>
      <c r="G12" s="255"/>
    </row>
    <row r="13" spans="1:7">
      <c r="A13" t="str">
        <f>IF(ABS(F13)&gt;0,基础信息!$B$1,"")</f>
        <v/>
      </c>
      <c r="B13" s="255"/>
      <c r="C13" s="276"/>
      <c r="D13" s="255"/>
      <c r="E13" s="255"/>
      <c r="F13" s="255"/>
      <c r="G13" s="255"/>
    </row>
    <row r="14" spans="1:7">
      <c r="A14" t="str">
        <f>IF(ABS(F14)&gt;0,基础信息!$B$1,"")</f>
        <v/>
      </c>
      <c r="B14" s="255"/>
      <c r="C14" s="276"/>
      <c r="D14" s="255"/>
      <c r="E14" s="255"/>
      <c r="F14" s="255"/>
      <c r="G14" s="255"/>
    </row>
    <row r="15" spans="1:7">
      <c r="A15" t="str">
        <f>IF(ABS(F15)&gt;0,基础信息!$B$1,"")</f>
        <v/>
      </c>
      <c r="B15" s="255"/>
      <c r="C15" s="276"/>
      <c r="D15" s="255"/>
      <c r="E15" s="255"/>
      <c r="F15" s="255"/>
      <c r="G15" s="255"/>
    </row>
    <row r="16" spans="1:7">
      <c r="A16" t="str">
        <f>IF(ABS(F16)&gt;0,基础信息!$B$1,"")</f>
        <v/>
      </c>
      <c r="B16" s="255"/>
      <c r="C16" s="276"/>
      <c r="D16" s="255"/>
      <c r="E16" s="255"/>
      <c r="F16" s="255"/>
      <c r="G16" s="255"/>
    </row>
    <row r="17" spans="1:7">
      <c r="A17" t="str">
        <f>IF(ABS(F17)&gt;0,基础信息!$B$1,"")</f>
        <v/>
      </c>
      <c r="B17" s="255"/>
      <c r="C17" s="276"/>
      <c r="D17" s="255"/>
      <c r="E17" s="255"/>
      <c r="F17" s="255"/>
      <c r="G17" s="255"/>
    </row>
    <row r="18" spans="1:7">
      <c r="A18" t="str">
        <f>IF(ABS(F18)&gt;0,基础信息!$B$1,"")</f>
        <v/>
      </c>
      <c r="B18" s="255"/>
      <c r="C18" s="276"/>
      <c r="D18" s="255"/>
      <c r="E18" s="255"/>
      <c r="F18" s="255"/>
      <c r="G18" s="255"/>
    </row>
    <row r="19" spans="1:7">
      <c r="A19" t="str">
        <f>IF(ABS(F19)&gt;0,基础信息!$B$1,"")</f>
        <v/>
      </c>
      <c r="B19" s="255"/>
      <c r="C19" s="276"/>
      <c r="D19" s="255"/>
      <c r="E19" s="255"/>
      <c r="F19" s="255"/>
      <c r="G19" s="255"/>
    </row>
    <row r="20" spans="1:7">
      <c r="A20" t="str">
        <f>IF(ABS(F20)&gt;0,基础信息!$B$1,"")</f>
        <v/>
      </c>
      <c r="B20" s="255"/>
      <c r="C20" s="276"/>
      <c r="D20" s="255"/>
      <c r="E20" s="255"/>
      <c r="F20" s="255"/>
      <c r="G20" s="255"/>
    </row>
    <row r="21" spans="1:7">
      <c r="A21" t="str">
        <f>IF(ABS(F21)&gt;0,基础信息!$B$1,"")</f>
        <v/>
      </c>
      <c r="B21" s="255"/>
      <c r="C21" s="276"/>
      <c r="D21" s="255"/>
      <c r="E21" s="255"/>
      <c r="F21" s="255"/>
      <c r="G21"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3B956E-5EB2-4972-9686-43AFDC856543}">
          <x14:formula1>
            <xm:f>分类表!$7:$7</xm:f>
          </x14:formula1>
          <xm:sqref>C2:C21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codeName="Sheet72">
    <tabColor rgb="FFFFC000"/>
  </sheetPr>
  <dimension ref="A1:E8"/>
  <sheetViews>
    <sheetView workbookViewId="0">
      <selection activeCell="D11" sqref="D11"/>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222</v>
      </c>
      <c r="B1" s="20" t="s">
        <v>3337</v>
      </c>
      <c r="C1" s="20" t="s">
        <v>213</v>
      </c>
      <c r="D1" s="20" t="s">
        <v>223</v>
      </c>
      <c r="E1" s="20" t="s">
        <v>224</v>
      </c>
    </row>
    <row r="2" spans="1:5" ht="14.4">
      <c r="A2" s="19" t="s">
        <v>206</v>
      </c>
      <c r="B2" s="21">
        <f>ROUND(SUM(B3:B4),2)</f>
        <v>0</v>
      </c>
      <c r="C2" s="21">
        <f>ROUND(SUM(C3:C4),2)</f>
        <v>0</v>
      </c>
      <c r="D2" s="21" t="str">
        <f>IFERROR(C2/B2*100,"")</f>
        <v/>
      </c>
      <c r="E2" s="268"/>
    </row>
    <row r="3" spans="1:5" ht="14.4">
      <c r="A3" s="268"/>
      <c r="B3" s="280"/>
      <c r="C3" s="280"/>
      <c r="D3" s="21" t="str">
        <f t="shared" ref="D3:D8" si="0">IFERROR(C3/B3*100,"")</f>
        <v/>
      </c>
      <c r="E3" s="268"/>
    </row>
    <row r="4" spans="1:5" ht="14.4">
      <c r="A4" s="268"/>
      <c r="B4" s="280"/>
      <c r="C4" s="280"/>
      <c r="D4" s="21" t="str">
        <f t="shared" si="0"/>
        <v/>
      </c>
      <c r="E4" s="268"/>
    </row>
    <row r="5" spans="1:5" ht="14.4">
      <c r="A5" s="19" t="s">
        <v>207</v>
      </c>
      <c r="B5" s="21">
        <f>ROUND(SUM(B6:B7),2)</f>
        <v>0</v>
      </c>
      <c r="C5" s="21">
        <f>ROUND(SUM(C6:C7),2)</f>
        <v>0</v>
      </c>
      <c r="D5" s="21" t="str">
        <f t="shared" si="0"/>
        <v/>
      </c>
      <c r="E5" s="268"/>
    </row>
    <row r="6" spans="1:5" ht="14.4">
      <c r="A6" s="268"/>
      <c r="B6" s="280"/>
      <c r="C6" s="280"/>
      <c r="D6" s="21" t="str">
        <f t="shared" si="0"/>
        <v/>
      </c>
      <c r="E6" s="268"/>
    </row>
    <row r="7" spans="1:5" ht="14.4">
      <c r="A7" s="268"/>
      <c r="B7" s="280"/>
      <c r="C7" s="280"/>
      <c r="D7" s="21" t="str">
        <f t="shared" si="0"/>
        <v/>
      </c>
      <c r="E7" s="268"/>
    </row>
    <row r="8" spans="1:5" ht="14.4">
      <c r="A8" s="19" t="s">
        <v>262</v>
      </c>
      <c r="B8" s="21">
        <f>ROUND(SUM(B5,B2),2)</f>
        <v>0</v>
      </c>
      <c r="C8" s="21">
        <f>ROUND(SUM(C5,C2),2)</f>
        <v>0</v>
      </c>
      <c r="D8" s="21" t="str">
        <f t="shared" si="0"/>
        <v/>
      </c>
      <c r="E8" s="268"/>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sheetPr codeName="Sheet73">
    <tabColor rgb="FFFFC000"/>
  </sheetPr>
  <dimension ref="A1:D4"/>
  <sheetViews>
    <sheetView workbookViewId="0">
      <selection activeCell="D12" sqref="D12"/>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28</v>
      </c>
      <c r="B1" s="20" t="s">
        <v>214</v>
      </c>
      <c r="C1" s="20" t="s">
        <v>215</v>
      </c>
      <c r="D1" s="20" t="s">
        <v>225</v>
      </c>
    </row>
    <row r="2" spans="1:4" ht="15">
      <c r="A2" s="529" t="s">
        <v>206</v>
      </c>
      <c r="B2" s="298">
        <f>ROUND(SUMIF(应收票据明细表!C:C,A2,应收票据明细表!F:F),2)</f>
        <v>0</v>
      </c>
      <c r="C2" s="298">
        <f>ROUND(SUMIF(应收票据明细表!C:C,A2,应收票据明细表!K:K),2)</f>
        <v>0</v>
      </c>
      <c r="D2" s="21" t="str">
        <f>IFERROR(C2/B2*100,"")</f>
        <v/>
      </c>
    </row>
    <row r="3" spans="1:4" ht="15">
      <c r="A3" s="529" t="s">
        <v>207</v>
      </c>
      <c r="B3" s="298">
        <f>ROUND(SUMIF(应收票据明细表!C:C,A3,应收票据明细表!F:F),2)</f>
        <v>0</v>
      </c>
      <c r="C3" s="298">
        <f>ROUND(SUMIF(应收票据明细表!C:C,A3,应收票据明细表!K:K),2)</f>
        <v>0</v>
      </c>
      <c r="D3" s="21" t="str">
        <f>IFERROR(C3/B3*100,"")</f>
        <v/>
      </c>
    </row>
    <row r="4" spans="1:4" ht="14.4">
      <c r="A4" s="19" t="s">
        <v>1291</v>
      </c>
      <c r="B4" s="21">
        <f>ROUND(SUM(B2:B3),2)</f>
        <v>0</v>
      </c>
      <c r="C4" s="21">
        <f>ROUND(SUM(C2:C3),2)</f>
        <v>0</v>
      </c>
      <c r="D4"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DFE3B0-2D70-408D-B965-7161430C1386}">
          <x14:formula1>
            <xm:f>分类表!$7:$7</xm:f>
          </x14:formula1>
          <xm:sqref>A2:A3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sheetPr codeName="Sheet74">
    <tabColor rgb="FFFFC000"/>
  </sheetPr>
  <dimension ref="A1:H4"/>
  <sheetViews>
    <sheetView workbookViewId="0">
      <selection activeCell="F19" sqref="F19"/>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28</v>
      </c>
      <c r="B1" s="20" t="s">
        <v>200</v>
      </c>
      <c r="C1" s="32" t="s">
        <v>226</v>
      </c>
      <c r="D1" s="32" t="s">
        <v>227</v>
      </c>
      <c r="E1" s="32" t="s">
        <v>228</v>
      </c>
      <c r="F1" s="32" t="s">
        <v>229</v>
      </c>
      <c r="G1" s="32" t="s">
        <v>230</v>
      </c>
      <c r="H1" s="32" t="s">
        <v>203</v>
      </c>
    </row>
    <row r="2" spans="1:8" ht="15">
      <c r="A2" s="529" t="s">
        <v>206</v>
      </c>
      <c r="B2" s="293">
        <f>ROUND(SUMIF(应收票据明细表!C:C,A2,应收票据明细表!G:G),2)</f>
        <v>0</v>
      </c>
      <c r="C2" s="293">
        <f>ROUND(SUMIF(应收票据明细表!C:C,A2,应收票据明细表!H:H),2)</f>
        <v>0</v>
      </c>
      <c r="D2" s="267"/>
      <c r="E2" s="293">
        <f>ROUND(SUMIF(应收票据明细表!C:C,A2,应收票据明细表!I:I),2)</f>
        <v>0</v>
      </c>
      <c r="F2" s="293">
        <f>ROUND(SUMIF(应收票据明细表!C:C,A2,应收票据明细表!J:J),2)</f>
        <v>0</v>
      </c>
      <c r="G2" s="267"/>
      <c r="H2" s="68">
        <f>ROUND(B2+C2+D2-E2-F2-G2,2)</f>
        <v>0</v>
      </c>
    </row>
    <row r="3" spans="1:8" ht="15">
      <c r="A3" s="529" t="s">
        <v>207</v>
      </c>
      <c r="B3" s="293">
        <f>ROUND(SUMIF(应收票据明细表!C:C,A3,应收票据明细表!G:G),2)</f>
        <v>0</v>
      </c>
      <c r="C3" s="293">
        <f>ROUND(SUMIF(应收票据明细表!C:C,A3,应收票据明细表!H:H),2)</f>
        <v>0</v>
      </c>
      <c r="D3" s="267"/>
      <c r="E3" s="293">
        <f>ROUND(SUMIF(应收票据明细表!C:C,A3,应收票据明细表!I:I),2)</f>
        <v>0</v>
      </c>
      <c r="F3" s="293">
        <f>ROUND(SUMIF(应收票据明细表!C:C,A3,应收票据明细表!J:J),2)</f>
        <v>0</v>
      </c>
      <c r="G3" s="267"/>
      <c r="H3" s="68">
        <f>ROUND(B3+C3+D3-E3-F3-G3,2)</f>
        <v>0</v>
      </c>
    </row>
    <row r="4" spans="1:8" ht="14.4">
      <c r="A4" s="19" t="s">
        <v>1291</v>
      </c>
      <c r="B4" s="68">
        <f t="shared" ref="B4:G4" si="0">ROUND(SUM(B2:B3),2)</f>
        <v>0</v>
      </c>
      <c r="C4" s="68">
        <f t="shared" si="0"/>
        <v>0</v>
      </c>
      <c r="D4" s="68">
        <f t="shared" si="0"/>
        <v>0</v>
      </c>
      <c r="E4" s="68">
        <f t="shared" si="0"/>
        <v>0</v>
      </c>
      <c r="F4" s="68">
        <f t="shared" si="0"/>
        <v>0</v>
      </c>
      <c r="G4" s="68">
        <f t="shared" si="0"/>
        <v>0</v>
      </c>
      <c r="H4" s="68">
        <f>ROUND(B4+C4+D4-E4-F4-G4,2)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1AA97A-C192-4378-9FE2-79004DE5E4CC}">
          <x14:formula1>
            <xm:f>分类表!$7:$7</xm:f>
          </x14:formula1>
          <xm:sqref>A2:A3</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codeName="Sheet75">
    <tabColor rgb="FFFFC000"/>
  </sheetPr>
  <dimension ref="A1:C4"/>
  <sheetViews>
    <sheetView workbookViewId="0">
      <selection activeCell="I17" sqref="I17"/>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222</v>
      </c>
      <c r="B1" s="153" t="s">
        <v>3338</v>
      </c>
      <c r="C1" s="20" t="s">
        <v>231</v>
      </c>
    </row>
    <row r="2" spans="1:3" ht="14.4">
      <c r="A2" s="268"/>
      <c r="B2" s="267"/>
      <c r="C2" s="281"/>
    </row>
    <row r="3" spans="1:3" ht="14.4">
      <c r="A3" s="268"/>
      <c r="B3" s="267"/>
      <c r="C3" s="281"/>
    </row>
    <row r="4" spans="1:3" ht="14.4">
      <c r="A4" s="19" t="s">
        <v>1291</v>
      </c>
      <c r="B4" s="68">
        <f>SUM(B2:B3)</f>
        <v>0</v>
      </c>
      <c r="C4" s="44"/>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codeName="Sheet76">
    <tabColor rgb="FFFFC000"/>
  </sheetPr>
  <dimension ref="A1:F8"/>
  <sheetViews>
    <sheetView workbookViewId="0">
      <selection activeCell="F12" sqref="F12"/>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222</v>
      </c>
      <c r="B1" s="20" t="s">
        <v>232</v>
      </c>
      <c r="C1" s="153" t="s">
        <v>3339</v>
      </c>
      <c r="D1" s="20" t="s">
        <v>233</v>
      </c>
      <c r="E1" s="20" t="s">
        <v>3754</v>
      </c>
      <c r="F1" s="20" t="s">
        <v>3756</v>
      </c>
    </row>
    <row r="2" spans="1:6" ht="14.4">
      <c r="A2" s="19" t="s">
        <v>206</v>
      </c>
      <c r="B2" s="44"/>
      <c r="C2" s="68">
        <f>SUM(C3:C4)</f>
        <v>0</v>
      </c>
      <c r="D2" s="44"/>
      <c r="E2" s="44"/>
      <c r="F2" s="44"/>
    </row>
    <row r="3" spans="1:6" ht="14.4">
      <c r="A3" s="268"/>
      <c r="B3" s="281"/>
      <c r="C3" s="267"/>
      <c r="D3" s="281"/>
      <c r="E3" s="281"/>
      <c r="F3" s="281"/>
    </row>
    <row r="4" spans="1:6" ht="14.4">
      <c r="A4" s="268"/>
      <c r="B4" s="281"/>
      <c r="C4" s="267"/>
      <c r="D4" s="281"/>
      <c r="E4" s="281"/>
      <c r="F4" s="281"/>
    </row>
    <row r="5" spans="1:6" ht="14.4">
      <c r="A5" s="19" t="s">
        <v>207</v>
      </c>
      <c r="B5" s="44"/>
      <c r="C5" s="68">
        <f>SUM(C6:C7)</f>
        <v>0</v>
      </c>
      <c r="D5" s="44"/>
      <c r="E5" s="44"/>
      <c r="F5" s="44"/>
    </row>
    <row r="6" spans="1:6" ht="14.4">
      <c r="A6" s="268"/>
      <c r="B6" s="281"/>
      <c r="C6" s="267"/>
      <c r="D6" s="281"/>
      <c r="E6" s="281"/>
      <c r="F6" s="281"/>
    </row>
    <row r="7" spans="1:6" ht="14.4">
      <c r="A7" s="268"/>
      <c r="B7" s="281"/>
      <c r="C7" s="267"/>
      <c r="D7" s="281"/>
      <c r="E7" s="281"/>
      <c r="F7" s="281"/>
    </row>
    <row r="8" spans="1:6" ht="14.4">
      <c r="A8" s="19" t="s">
        <v>1291</v>
      </c>
      <c r="B8" s="44"/>
      <c r="C8" s="68">
        <f>SUM(C5,C2)</f>
        <v>0</v>
      </c>
      <c r="D8" s="44"/>
      <c r="E8" s="44"/>
      <c r="F8" s="44"/>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sheetPr codeName="Sheet77"/>
  <dimension ref="A1:O30"/>
  <sheetViews>
    <sheetView workbookViewId="0">
      <selection activeCell="K25" sqref="K25"/>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9.5546875" bestFit="1" customWidth="1"/>
    <col min="11" max="11" width="13.88671875" bestFit="1" customWidth="1"/>
    <col min="12" max="12" width="18.33203125" bestFit="1" customWidth="1"/>
    <col min="13" max="13" width="13.88671875" bestFit="1" customWidth="1"/>
    <col min="15" max="15" width="16.109375" bestFit="1" customWidth="1"/>
  </cols>
  <sheetData>
    <row r="1" spans="1:15">
      <c r="A1" t="s">
        <v>2383</v>
      </c>
      <c r="B1" t="s">
        <v>2381</v>
      </c>
      <c r="C1" t="s">
        <v>2382</v>
      </c>
      <c r="D1" t="s">
        <v>2380</v>
      </c>
      <c r="E1" t="s">
        <v>372</v>
      </c>
      <c r="F1" t="s">
        <v>183</v>
      </c>
      <c r="G1" t="s">
        <v>2391</v>
      </c>
      <c r="H1" t="s">
        <v>2349</v>
      </c>
      <c r="I1" t="s">
        <v>2392</v>
      </c>
      <c r="J1" t="s">
        <v>2393</v>
      </c>
      <c r="K1" t="s">
        <v>2394</v>
      </c>
      <c r="L1" t="s">
        <v>2151</v>
      </c>
      <c r="M1" t="s">
        <v>2390</v>
      </c>
      <c r="N1" t="s">
        <v>3755</v>
      </c>
      <c r="O1" t="s">
        <v>3754</v>
      </c>
    </row>
    <row r="2" spans="1:15">
      <c r="A2" t="str">
        <f>IF(ABS(F2)&gt;0,基础信息!$B$1,"")</f>
        <v/>
      </c>
      <c r="B2" s="255"/>
      <c r="C2" s="276"/>
      <c r="D2" s="255"/>
      <c r="E2" s="255"/>
      <c r="F2" s="255"/>
      <c r="G2" s="255"/>
      <c r="H2" s="255"/>
      <c r="I2" s="255"/>
      <c r="J2" s="255"/>
      <c r="K2" s="259">
        <f>G2+H2-I2-J2</f>
        <v>0</v>
      </c>
      <c r="L2" s="276"/>
      <c r="M2" s="255"/>
      <c r="N2" s="255"/>
      <c r="O2" s="255"/>
    </row>
    <row r="3" spans="1:15">
      <c r="A3" t="str">
        <f>IF(ABS(F3)&gt;0,基础信息!$B$1,"")</f>
        <v/>
      </c>
      <c r="B3" s="255"/>
      <c r="C3" s="276"/>
      <c r="D3" s="255"/>
      <c r="E3" s="255"/>
      <c r="F3" s="255"/>
      <c r="G3" s="255"/>
      <c r="H3" s="255"/>
      <c r="I3" s="255"/>
      <c r="J3" s="255"/>
      <c r="K3" s="259">
        <f t="shared" ref="K3:K21" si="0">G3+H3-I3-J3</f>
        <v>0</v>
      </c>
      <c r="L3" s="276"/>
      <c r="M3" s="255"/>
      <c r="N3" s="255"/>
      <c r="O3" s="255"/>
    </row>
    <row r="4" spans="1:15">
      <c r="A4" t="str">
        <f>IF(ABS(F4)&gt;0,基础信息!$B$1,"")</f>
        <v/>
      </c>
      <c r="B4" s="255"/>
      <c r="C4" s="276"/>
      <c r="D4" s="255"/>
      <c r="E4" s="255"/>
      <c r="F4" s="255"/>
      <c r="G4" s="255"/>
      <c r="H4" s="255"/>
      <c r="I4" s="255"/>
      <c r="J4" s="255"/>
      <c r="K4" s="259">
        <f t="shared" si="0"/>
        <v>0</v>
      </c>
      <c r="L4" s="276"/>
      <c r="M4" s="255"/>
      <c r="N4" s="255"/>
      <c r="O4" s="255"/>
    </row>
    <row r="5" spans="1:15">
      <c r="A5" t="str">
        <f>IF(ABS(F5)&gt;0,基础信息!$B$1,"")</f>
        <v/>
      </c>
      <c r="B5" s="255"/>
      <c r="C5" s="276"/>
      <c r="D5" s="255"/>
      <c r="E5" s="255"/>
      <c r="F5" s="255"/>
      <c r="G5" s="255"/>
      <c r="H5" s="255"/>
      <c r="I5" s="255"/>
      <c r="J5" s="255"/>
      <c r="K5" s="259">
        <f t="shared" si="0"/>
        <v>0</v>
      </c>
      <c r="L5" s="276"/>
      <c r="M5" s="255"/>
      <c r="N5" s="255"/>
      <c r="O5" s="255"/>
    </row>
    <row r="6" spans="1:15">
      <c r="A6" t="str">
        <f>IF(ABS(F6)&gt;0,基础信息!$B$1,"")</f>
        <v/>
      </c>
      <c r="B6" s="255"/>
      <c r="C6" s="276"/>
      <c r="D6" s="255"/>
      <c r="E6" s="255"/>
      <c r="F6" s="255"/>
      <c r="G6" s="255"/>
      <c r="H6" s="255"/>
      <c r="I6" s="255"/>
      <c r="J6" s="255"/>
      <c r="K6" s="259">
        <f t="shared" si="0"/>
        <v>0</v>
      </c>
      <c r="L6" s="276"/>
      <c r="M6" s="255"/>
      <c r="N6" s="255"/>
      <c r="O6" s="255"/>
    </row>
    <row r="7" spans="1:15">
      <c r="A7" t="str">
        <f>IF(ABS(F7)&gt;0,基础信息!$B$1,"")</f>
        <v/>
      </c>
      <c r="B7" s="255"/>
      <c r="C7" s="276"/>
      <c r="D7" s="255"/>
      <c r="E7" s="255"/>
      <c r="F7" s="255"/>
      <c r="G7" s="255"/>
      <c r="H7" s="255"/>
      <c r="I7" s="255"/>
      <c r="J7" s="255"/>
      <c r="K7" s="259">
        <f t="shared" si="0"/>
        <v>0</v>
      </c>
      <c r="L7" s="276"/>
      <c r="M7" s="255"/>
      <c r="N7" s="255"/>
      <c r="O7" s="255"/>
    </row>
    <row r="8" spans="1:15">
      <c r="A8" t="str">
        <f>IF(ABS(F8)&gt;0,基础信息!$B$1,"")</f>
        <v/>
      </c>
      <c r="B8" s="255"/>
      <c r="C8" s="276"/>
      <c r="D8" s="255"/>
      <c r="E8" s="255"/>
      <c r="F8" s="255"/>
      <c r="G8" s="255"/>
      <c r="H8" s="255"/>
      <c r="I8" s="255"/>
      <c r="J8" s="255"/>
      <c r="K8" s="259">
        <f t="shared" si="0"/>
        <v>0</v>
      </c>
      <c r="L8" s="276"/>
      <c r="M8" s="255"/>
      <c r="N8" s="255"/>
      <c r="O8" s="255"/>
    </row>
    <row r="9" spans="1:15">
      <c r="A9" t="str">
        <f>IF(ABS(F9)&gt;0,基础信息!$B$1,"")</f>
        <v/>
      </c>
      <c r="B9" s="255"/>
      <c r="C9" s="276"/>
      <c r="D9" s="255"/>
      <c r="E9" s="255"/>
      <c r="F9" s="255"/>
      <c r="G9" s="255"/>
      <c r="H9" s="255"/>
      <c r="I9" s="255"/>
      <c r="J9" s="255"/>
      <c r="K9" s="259">
        <f t="shared" si="0"/>
        <v>0</v>
      </c>
      <c r="L9" s="276"/>
      <c r="M9" s="255"/>
      <c r="N9" s="255"/>
      <c r="O9" s="255"/>
    </row>
    <row r="10" spans="1:15">
      <c r="A10" t="str">
        <f>IF(ABS(F10)&gt;0,基础信息!$B$1,"")</f>
        <v/>
      </c>
      <c r="B10" s="255"/>
      <c r="C10" s="276"/>
      <c r="D10" s="255"/>
      <c r="E10" s="255"/>
      <c r="F10" s="255"/>
      <c r="G10" s="255"/>
      <c r="H10" s="255"/>
      <c r="I10" s="255"/>
      <c r="J10" s="255"/>
      <c r="K10" s="259">
        <f t="shared" si="0"/>
        <v>0</v>
      </c>
      <c r="L10" s="276"/>
      <c r="M10" s="255"/>
      <c r="N10" s="255"/>
      <c r="O10" s="255"/>
    </row>
    <row r="11" spans="1:15">
      <c r="A11" t="str">
        <f>IF(ABS(F11)&gt;0,基础信息!$B$1,"")</f>
        <v/>
      </c>
      <c r="B11" s="255"/>
      <c r="C11" s="276"/>
      <c r="D11" s="255"/>
      <c r="E11" s="255"/>
      <c r="F11" s="255"/>
      <c r="G11" s="255"/>
      <c r="H11" s="255"/>
      <c r="I11" s="255"/>
      <c r="J11" s="255"/>
      <c r="K11" s="259">
        <f t="shared" si="0"/>
        <v>0</v>
      </c>
      <c r="L11" s="276"/>
      <c r="M11" s="255"/>
      <c r="N11" s="255"/>
      <c r="O11" s="255"/>
    </row>
    <row r="12" spans="1:15">
      <c r="A12" t="str">
        <f>IF(ABS(F12)&gt;0,基础信息!$B$1,"")</f>
        <v/>
      </c>
      <c r="B12" s="255"/>
      <c r="C12" s="276"/>
      <c r="D12" s="255"/>
      <c r="E12" s="255"/>
      <c r="F12" s="255"/>
      <c r="G12" s="255"/>
      <c r="H12" s="255"/>
      <c r="I12" s="255"/>
      <c r="J12" s="255"/>
      <c r="K12" s="259">
        <f t="shared" si="0"/>
        <v>0</v>
      </c>
      <c r="L12" s="276"/>
      <c r="M12" s="255"/>
      <c r="N12" s="255"/>
      <c r="O12" s="255"/>
    </row>
    <row r="13" spans="1:15">
      <c r="A13" t="str">
        <f>IF(ABS(F13)&gt;0,基础信息!$B$1,"")</f>
        <v/>
      </c>
      <c r="B13" s="255"/>
      <c r="C13" s="276"/>
      <c r="D13" s="255"/>
      <c r="E13" s="255"/>
      <c r="F13" s="255"/>
      <c r="G13" s="255"/>
      <c r="H13" s="255"/>
      <c r="I13" s="255"/>
      <c r="J13" s="255"/>
      <c r="K13" s="259">
        <f t="shared" si="0"/>
        <v>0</v>
      </c>
      <c r="L13" s="276"/>
      <c r="M13" s="255"/>
      <c r="N13" s="255"/>
      <c r="O13" s="255"/>
    </row>
    <row r="14" spans="1:15">
      <c r="A14" t="str">
        <f>IF(ABS(F14)&gt;0,基础信息!$B$1,"")</f>
        <v/>
      </c>
      <c r="B14" s="255"/>
      <c r="C14" s="276"/>
      <c r="D14" s="255"/>
      <c r="E14" s="255"/>
      <c r="F14" s="255"/>
      <c r="G14" s="255"/>
      <c r="H14" s="255"/>
      <c r="I14" s="255"/>
      <c r="J14" s="255"/>
      <c r="K14" s="259">
        <f t="shared" si="0"/>
        <v>0</v>
      </c>
      <c r="L14" s="276"/>
      <c r="M14" s="255"/>
      <c r="N14" s="255"/>
      <c r="O14" s="255"/>
    </row>
    <row r="15" spans="1:15">
      <c r="A15" t="str">
        <f>IF(ABS(F15)&gt;0,基础信息!$B$1,"")</f>
        <v/>
      </c>
      <c r="B15" s="255"/>
      <c r="C15" s="276"/>
      <c r="D15" s="255"/>
      <c r="E15" s="255"/>
      <c r="F15" s="255"/>
      <c r="G15" s="255"/>
      <c r="H15" s="255"/>
      <c r="I15" s="255"/>
      <c r="J15" s="255"/>
      <c r="K15" s="259">
        <f t="shared" si="0"/>
        <v>0</v>
      </c>
      <c r="L15" s="276"/>
      <c r="M15" s="255"/>
      <c r="N15" s="255"/>
      <c r="O15" s="255"/>
    </row>
    <row r="16" spans="1:15">
      <c r="A16" t="str">
        <f>IF(ABS(F16)&gt;0,基础信息!$B$1,"")</f>
        <v/>
      </c>
      <c r="B16" s="255"/>
      <c r="C16" s="276"/>
      <c r="D16" s="255"/>
      <c r="E16" s="255"/>
      <c r="F16" s="255"/>
      <c r="G16" s="255"/>
      <c r="H16" s="255"/>
      <c r="I16" s="255"/>
      <c r="J16" s="255"/>
      <c r="K16" s="259">
        <f t="shared" si="0"/>
        <v>0</v>
      </c>
      <c r="L16" s="276"/>
      <c r="M16" s="255"/>
      <c r="N16" s="255"/>
      <c r="O16" s="255"/>
    </row>
    <row r="17" spans="1:15">
      <c r="A17" t="str">
        <f>IF(ABS(F17)&gt;0,基础信息!$B$1,"")</f>
        <v/>
      </c>
      <c r="B17" s="255"/>
      <c r="C17" s="276"/>
      <c r="D17" s="255"/>
      <c r="E17" s="255"/>
      <c r="F17" s="255"/>
      <c r="G17" s="255"/>
      <c r="H17" s="255"/>
      <c r="I17" s="255"/>
      <c r="J17" s="255"/>
      <c r="K17" s="259">
        <f t="shared" si="0"/>
        <v>0</v>
      </c>
      <c r="L17" s="276"/>
      <c r="M17" s="255"/>
      <c r="N17" s="255"/>
      <c r="O17" s="255"/>
    </row>
    <row r="18" spans="1:15">
      <c r="A18" t="str">
        <f>IF(ABS(F18)&gt;0,基础信息!$B$1,"")</f>
        <v/>
      </c>
      <c r="B18" s="255"/>
      <c r="C18" s="276"/>
      <c r="D18" s="255"/>
      <c r="E18" s="255"/>
      <c r="F18" s="255"/>
      <c r="G18" s="255"/>
      <c r="H18" s="255"/>
      <c r="I18" s="255"/>
      <c r="J18" s="255"/>
      <c r="K18" s="259">
        <f t="shared" si="0"/>
        <v>0</v>
      </c>
      <c r="L18" s="276"/>
      <c r="M18" s="255"/>
      <c r="N18" s="255"/>
      <c r="O18" s="255"/>
    </row>
    <row r="19" spans="1:15">
      <c r="A19" t="str">
        <f>IF(ABS(F19)&gt;0,基础信息!$B$1,"")</f>
        <v/>
      </c>
      <c r="B19" s="255"/>
      <c r="C19" s="276"/>
      <c r="D19" s="255"/>
      <c r="E19" s="255"/>
      <c r="F19" s="255"/>
      <c r="G19" s="255"/>
      <c r="H19" s="255"/>
      <c r="I19" s="255"/>
      <c r="J19" s="255"/>
      <c r="K19" s="259">
        <f t="shared" si="0"/>
        <v>0</v>
      </c>
      <c r="L19" s="276"/>
      <c r="M19" s="255"/>
      <c r="N19" s="255"/>
      <c r="O19" s="255"/>
    </row>
    <row r="20" spans="1:15">
      <c r="A20" t="str">
        <f>IF(ABS(F20)&gt;0,基础信息!$B$1,"")</f>
        <v/>
      </c>
      <c r="B20" s="255"/>
      <c r="C20" s="276"/>
      <c r="D20" s="255"/>
      <c r="E20" s="255"/>
      <c r="F20" s="255"/>
      <c r="G20" s="255"/>
      <c r="H20" s="255"/>
      <c r="I20" s="255"/>
      <c r="J20" s="255"/>
      <c r="K20" s="259">
        <f t="shared" si="0"/>
        <v>0</v>
      </c>
      <c r="L20" s="276"/>
      <c r="M20" s="255"/>
      <c r="N20" s="255"/>
      <c r="O20" s="255"/>
    </row>
    <row r="21" spans="1:15">
      <c r="A21" t="str">
        <f>IF(ABS(F21)&gt;0,基础信息!$B$1,"")</f>
        <v/>
      </c>
      <c r="B21" s="255"/>
      <c r="C21" s="276"/>
      <c r="D21" s="255"/>
      <c r="E21" s="255"/>
      <c r="F21" s="255"/>
      <c r="G21" s="255"/>
      <c r="H21" s="255"/>
      <c r="I21" s="255"/>
      <c r="J21" s="255"/>
      <c r="K21" s="259">
        <f t="shared" si="0"/>
        <v>0</v>
      </c>
      <c r="L21" s="276"/>
      <c r="M21" s="255"/>
      <c r="N21" s="255"/>
      <c r="O21" s="255"/>
    </row>
    <row r="22" spans="1:15">
      <c r="A22" t="str">
        <f>IF(ABS(F22)&gt;0,基础信息!$B$1,"")</f>
        <v/>
      </c>
    </row>
    <row r="23" spans="1:15">
      <c r="A23" t="str">
        <f>IF(ABS(F23)&gt;0,基础信息!$B$1,"")</f>
        <v/>
      </c>
    </row>
    <row r="24" spans="1:15">
      <c r="A24" t="str">
        <f>IF(ABS(F24)&gt;0,基础信息!$B$1,"")</f>
        <v/>
      </c>
    </row>
    <row r="25" spans="1:15">
      <c r="A25" t="str">
        <f>IF(ABS(F25)&gt;0,基础信息!$B$1,"")</f>
        <v/>
      </c>
    </row>
    <row r="26" spans="1:15">
      <c r="A26" t="str">
        <f>IF(ABS(F26)&gt;0,基础信息!$B$1,"")</f>
        <v/>
      </c>
    </row>
    <row r="27" spans="1:15">
      <c r="A27" t="str">
        <f>IF(ABS(F27)&gt;0,基础信息!$B$1,"")</f>
        <v/>
      </c>
    </row>
    <row r="28" spans="1:15">
      <c r="A28" t="str">
        <f>IF(ABS(F28)&gt;0,基础信息!$B$1,"")</f>
        <v/>
      </c>
    </row>
    <row r="29" spans="1:15">
      <c r="A29" t="str">
        <f>IF(ABS(F29)&gt;0,基础信息!$B$1,"")</f>
        <v/>
      </c>
    </row>
    <row r="30" spans="1:15">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030BABC-9889-4965-89CC-D0BDBE07C017}">
          <x14:formula1>
            <xm:f>分类表!$7:$7</xm:f>
          </x14:formula1>
          <xm:sqref>C2:C21</xm:sqref>
        </x14:dataValidation>
        <x14:dataValidation type="list" allowBlank="1" showInputMessage="1" showErrorMessage="1" xr:uid="{A5017BFB-79A4-433C-9C69-EB63A4654E8B}">
          <x14:formula1>
            <xm:f>分类表!$8:$8</xm:f>
          </x14:formula1>
          <xm:sqref>L2:L21</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sheetPr codeName="Sheet80">
    <tabColor rgb="FFFFC000"/>
  </sheetPr>
  <dimension ref="A1:F4"/>
  <sheetViews>
    <sheetView workbookViewId="0">
      <selection activeCell="D28" sqref="D28"/>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205</v>
      </c>
      <c r="B1" s="40" t="s">
        <v>214</v>
      </c>
      <c r="C1" s="40" t="s">
        <v>236</v>
      </c>
      <c r="D1" s="40" t="s">
        <v>215</v>
      </c>
      <c r="E1" s="40" t="s">
        <v>237</v>
      </c>
      <c r="F1" s="67" t="s">
        <v>216</v>
      </c>
    </row>
    <row r="2" spans="1:6">
      <c r="A2" s="69" t="s">
        <v>240</v>
      </c>
      <c r="B2" s="156">
        <f>ROUND(SUMIF(应收账款明细表!C:C,"单项计提坏账准备",应收账款明细表!H:H),2)</f>
        <v>0</v>
      </c>
      <c r="C2" s="156" t="str">
        <f>IFERROR(B2/$B$4*100,"")</f>
        <v/>
      </c>
      <c r="D2" s="156">
        <f>ROUND(SUMIF(应收账款明细表!C:C,"单项计提坏账准备",应收账款明细表!S:S),2)</f>
        <v>0</v>
      </c>
      <c r="E2" s="273" t="str">
        <f>IFERROR(D2/B2*100,"")</f>
        <v/>
      </c>
      <c r="F2" s="1">
        <f>ROUND(B2-D2,2)</f>
        <v>0</v>
      </c>
    </row>
    <row r="3" spans="1:6">
      <c r="A3" s="69" t="s">
        <v>241</v>
      </c>
      <c r="B3" s="156">
        <f>ROUND(SUMIF(应收账款明细表!C:C,"组合计提坏账准备",应收账款明细表!H:H),2)</f>
        <v>0</v>
      </c>
      <c r="C3" s="156" t="str">
        <f t="shared" ref="C3:C4" si="0">IFERROR(B3/$B$4*100,"")</f>
        <v/>
      </c>
      <c r="D3" s="156">
        <f>ROUND(SUMIF(应收账款明细表!C:C,"组合计提坏账准备",应收账款明细表!S:S),2)</f>
        <v>0</v>
      </c>
      <c r="E3" s="273" t="str">
        <f>IFERROR(D3/B3*100,"")</f>
        <v/>
      </c>
      <c r="F3" s="1">
        <f>ROUND(B3-D3,2)</f>
        <v>0</v>
      </c>
    </row>
    <row r="4" spans="1:6" ht="14.4">
      <c r="A4" s="23" t="s">
        <v>204</v>
      </c>
      <c r="B4" s="156">
        <f>ROUND(SUM(B1:B3),2)</f>
        <v>0</v>
      </c>
      <c r="C4" s="156" t="str">
        <f t="shared" si="0"/>
        <v/>
      </c>
      <c r="D4" s="156">
        <f>ROUND(SUM(D1:D3),2)</f>
        <v>0</v>
      </c>
      <c r="E4" s="154" t="s">
        <v>235</v>
      </c>
      <c r="F4" s="156">
        <f>ROUND(SUM(F1:F3),2)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B5EE-95E7-4B2A-A73C-FCC3AF77DC0D}">
  <sheetPr codeName="Sheet7"/>
  <dimension ref="A1:I3"/>
  <sheetViews>
    <sheetView view="pageBreakPreview" zoomScaleNormal="100" zoomScaleSheetLayoutView="100" workbookViewId="0">
      <selection activeCell="G20" sqref="G20"/>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1236</v>
      </c>
      <c r="C1" s="62" t="s">
        <v>1237</v>
      </c>
      <c r="D1" s="62" t="s">
        <v>1238</v>
      </c>
      <c r="E1" s="62" t="s">
        <v>1239</v>
      </c>
      <c r="F1" s="105" t="s">
        <v>792</v>
      </c>
      <c r="G1" s="105" t="s">
        <v>793</v>
      </c>
      <c r="H1" s="62" t="s">
        <v>1240</v>
      </c>
      <c r="I1" s="105">
        <f>SUM(F:F)-SUM(G:G)</f>
        <v>0</v>
      </c>
    </row>
    <row r="3" spans="1:9">
      <c r="A3" s="106"/>
      <c r="B3" s="107"/>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E0D57669-F8D5-4C37-B7E2-62BB59266098}">
          <x14:formula1>
            <xm:f>新准则转换TB!$B$4:$B$253</xm:f>
          </x14:formula1>
          <xm:sqref>D2:D263</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codeName="Sheet79">
    <tabColor rgb="FFFFC000"/>
  </sheetPr>
  <dimension ref="A1:F4"/>
  <sheetViews>
    <sheetView workbookViewId="0">
      <selection activeCell="F24" sqref="F24"/>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40" t="s">
        <v>205</v>
      </c>
      <c r="B1" s="40" t="s">
        <v>3341</v>
      </c>
      <c r="C1" s="40" t="s">
        <v>238</v>
      </c>
      <c r="D1" s="40" t="s">
        <v>218</v>
      </c>
      <c r="E1" s="40" t="s">
        <v>239</v>
      </c>
      <c r="F1" s="67" t="s">
        <v>220</v>
      </c>
    </row>
    <row r="2" spans="1:6">
      <c r="A2" s="69" t="s">
        <v>240</v>
      </c>
      <c r="B2" s="274"/>
      <c r="C2" s="156" t="str">
        <f>IFERROR(B2/$B$4*100,"")</f>
        <v/>
      </c>
      <c r="D2" s="274"/>
      <c r="E2" s="273" t="str">
        <f>IFERROR(D2/B2*100,"")</f>
        <v/>
      </c>
      <c r="F2" s="18">
        <f>ROUND(B2-D2,2)</f>
        <v>0</v>
      </c>
    </row>
    <row r="3" spans="1:6">
      <c r="A3" s="69" t="s">
        <v>241</v>
      </c>
      <c r="B3" s="274"/>
      <c r="C3" s="156" t="str">
        <f t="shared" ref="C3:C4" si="0">IFERROR(B3/$B$4*100,"")</f>
        <v/>
      </c>
      <c r="D3" s="274"/>
      <c r="E3" s="273" t="str">
        <f>IFERROR(D3/B3*100,"")</f>
        <v/>
      </c>
      <c r="F3" s="18">
        <f>ROUND(B3-D3,2)</f>
        <v>0</v>
      </c>
    </row>
    <row r="4" spans="1:6" ht="14.4">
      <c r="A4" s="23" t="s">
        <v>204</v>
      </c>
      <c r="B4" s="39">
        <f>ROUND(SUM(B1:B3),2)</f>
        <v>0</v>
      </c>
      <c r="C4" s="156" t="str">
        <f t="shared" si="0"/>
        <v/>
      </c>
      <c r="D4" s="39">
        <f>ROUND(SUM(D1:D3),2)</f>
        <v>0</v>
      </c>
      <c r="E4" s="154" t="s">
        <v>235</v>
      </c>
      <c r="F4" s="39">
        <f>ROUND(SUM(F1:F3),2)</f>
        <v>0</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codeName="Sheet82">
    <tabColor rgb="FFFFC000"/>
  </sheetPr>
  <dimension ref="A1:F9"/>
  <sheetViews>
    <sheetView workbookViewId="0">
      <selection activeCell="H25" sqref="H25"/>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242</v>
      </c>
      <c r="B1" s="35" t="s">
        <v>3337</v>
      </c>
      <c r="C1" s="35" t="s">
        <v>213</v>
      </c>
      <c r="D1" s="20" t="s">
        <v>243</v>
      </c>
      <c r="E1" s="35" t="s">
        <v>244</v>
      </c>
      <c r="F1" s="35" t="s">
        <v>224</v>
      </c>
    </row>
    <row r="2" spans="1:6">
      <c r="A2" s="282"/>
      <c r="B2" s="275"/>
      <c r="C2" s="275"/>
      <c r="D2" s="275"/>
      <c r="E2" s="50" t="str">
        <f>IFERROR(C2/B2*100,"")</f>
        <v/>
      </c>
      <c r="F2" s="283"/>
    </row>
    <row r="3" spans="1:6">
      <c r="A3" s="282"/>
      <c r="B3" s="275"/>
      <c r="C3" s="275"/>
      <c r="D3" s="275"/>
      <c r="E3" s="50" t="str">
        <f t="shared" ref="E3:E8" si="0">IFERROR(C3/B3*100,"")</f>
        <v/>
      </c>
      <c r="F3" s="283"/>
    </row>
    <row r="4" spans="1:6">
      <c r="A4" s="282"/>
      <c r="B4" s="275"/>
      <c r="C4" s="275"/>
      <c r="D4" s="275"/>
      <c r="E4" s="50" t="str">
        <f t="shared" si="0"/>
        <v/>
      </c>
      <c r="F4" s="283"/>
    </row>
    <row r="5" spans="1:6">
      <c r="A5" s="282"/>
      <c r="B5" s="275"/>
      <c r="C5" s="275"/>
      <c r="D5" s="275"/>
      <c r="E5" s="50" t="str">
        <f t="shared" si="0"/>
        <v/>
      </c>
      <c r="F5" s="283"/>
    </row>
    <row r="6" spans="1:6">
      <c r="A6" s="282"/>
      <c r="B6" s="275"/>
      <c r="C6" s="275"/>
      <c r="D6" s="275"/>
      <c r="E6" s="50" t="str">
        <f t="shared" si="0"/>
        <v/>
      </c>
      <c r="F6" s="283"/>
    </row>
    <row r="7" spans="1:6">
      <c r="A7" s="282"/>
      <c r="B7" s="275"/>
      <c r="C7" s="275"/>
      <c r="D7" s="275"/>
      <c r="E7" s="50" t="str">
        <f t="shared" si="0"/>
        <v/>
      </c>
      <c r="F7" s="283"/>
    </row>
    <row r="8" spans="1:6">
      <c r="A8" s="282"/>
      <c r="B8" s="275"/>
      <c r="C8" s="275"/>
      <c r="D8" s="275"/>
      <c r="E8" s="50" t="str">
        <f t="shared" si="0"/>
        <v/>
      </c>
      <c r="F8" s="283"/>
    </row>
    <row r="9" spans="1:6" ht="14.4">
      <c r="A9" s="20" t="s">
        <v>204</v>
      </c>
      <c r="B9" s="50">
        <f>ROUND(SUM(B2:B8),2)</f>
        <v>0</v>
      </c>
      <c r="C9" s="50">
        <f>ROUND(SUM(C2:C8),2)</f>
        <v>0</v>
      </c>
      <c r="D9" s="54" t="s">
        <v>235</v>
      </c>
      <c r="E9" s="54" t="s">
        <v>235</v>
      </c>
      <c r="F9" s="41" t="s">
        <v>235</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codeName="Sheet91">
    <tabColor rgb="FFFFC000"/>
  </sheetPr>
  <dimension ref="A1:D5"/>
  <sheetViews>
    <sheetView workbookViewId="0">
      <selection activeCell="C6" sqref="C6"/>
    </sheetView>
  </sheetViews>
  <sheetFormatPr defaultRowHeight="13.8"/>
  <cols>
    <col min="1" max="1" width="33.664062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245</v>
      </c>
      <c r="C1" s="18" t="s">
        <v>215</v>
      </c>
      <c r="D1" s="18" t="s">
        <v>225</v>
      </c>
    </row>
    <row r="2" spans="1:4">
      <c r="A2" s="137" t="s">
        <v>2401</v>
      </c>
      <c r="B2" s="150">
        <f>ROUND(SUMIF(应收账款明细表!E:E,A2,应收账款明细表!H:H),2)</f>
        <v>0</v>
      </c>
      <c r="C2" s="150">
        <f>ROUND(SUMIF(应收账款明细表!E:E,A2,应收账款明细表!S:S),2)</f>
        <v>0</v>
      </c>
      <c r="D2" s="18" t="str">
        <f>IFERROR(C2/B2*100,"")</f>
        <v/>
      </c>
    </row>
    <row r="3" spans="1:4">
      <c r="A3" s="137" t="s">
        <v>4111</v>
      </c>
      <c r="B3" s="150">
        <f>ROUND(SUMIF(应收账款明细表!E:E,A3,应收账款明细表!H:H),2)</f>
        <v>0</v>
      </c>
      <c r="C3" s="150">
        <f>ROUND(SUMIF(应收账款明细表!E:E,A3,应收账款明细表!S:S),2)</f>
        <v>0</v>
      </c>
      <c r="D3" s="18" t="str">
        <f>IFERROR(C3/B3*100,"")</f>
        <v/>
      </c>
    </row>
    <row r="4" spans="1:4">
      <c r="A4" s="137" t="s">
        <v>2400</v>
      </c>
      <c r="B4" s="150">
        <f>ROUND(SUMIF(应收账款明细表!E:E,A4,应收账款明细表!H:H),2)</f>
        <v>0</v>
      </c>
      <c r="C4" s="150">
        <f>ROUND(SUMIF(应收账款明细表!E:E,A4,应收账款明细表!S:S),2)</f>
        <v>0</v>
      </c>
      <c r="D4" s="18" t="str">
        <f>IFERROR(C4/B4*100,"")</f>
        <v/>
      </c>
    </row>
    <row r="5" spans="1:4">
      <c r="A5" s="18" t="s">
        <v>262</v>
      </c>
      <c r="B5" s="18">
        <f>ROUND(SUM(B2:B4),2)</f>
        <v>0</v>
      </c>
      <c r="C5" s="18">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65DAAA-C2B0-456C-B6EC-C0FB4EDDF4FC}">
          <x14:formula1>
            <xm:f>分类表!$14:$14</xm:f>
          </x14:formula1>
          <xm:sqref>A2:A4</xm:sqref>
        </x14:dataValidation>
      </x14:dataValidation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FEB4-2D78-40AF-87E2-992BCAB58443}">
  <sheetPr codeName="Sheet78">
    <tabColor rgb="FFFFC000"/>
  </sheetPr>
  <dimension ref="A1:B8"/>
  <sheetViews>
    <sheetView workbookViewId="0">
      <selection activeCell="L27" sqref="L27"/>
    </sheetView>
  </sheetViews>
  <sheetFormatPr defaultRowHeight="13.8"/>
  <sheetData>
    <row r="1" spans="1:2">
      <c r="A1" s="18" t="s">
        <v>28</v>
      </c>
      <c r="B1" s="18" t="s">
        <v>245</v>
      </c>
    </row>
    <row r="2" spans="1:2">
      <c r="A2" s="18" t="s">
        <v>258</v>
      </c>
      <c r="B2" s="136">
        <f>ROUND(SUM(应收账款明细表!I:I),2)</f>
        <v>0</v>
      </c>
    </row>
    <row r="3" spans="1:2">
      <c r="A3" s="18" t="s">
        <v>259</v>
      </c>
      <c r="B3" s="136">
        <f>ROUND(SUM(应收账款明细表!J:J),2)</f>
        <v>0</v>
      </c>
    </row>
    <row r="4" spans="1:2">
      <c r="A4" s="18" t="s">
        <v>260</v>
      </c>
      <c r="B4" s="136">
        <f>ROUND(SUM(应收账款明细表!K:K),2)</f>
        <v>0</v>
      </c>
    </row>
    <row r="5" spans="1:2">
      <c r="A5" s="18" t="s">
        <v>294</v>
      </c>
      <c r="B5" s="136">
        <f>ROUND(SUM(应收账款明细表!L:L),2)</f>
        <v>0</v>
      </c>
    </row>
    <row r="6" spans="1:2">
      <c r="A6" s="18" t="s">
        <v>295</v>
      </c>
      <c r="B6" s="136">
        <f>ROUND(SUM(应收账款明细表!M:M),2)</f>
        <v>0</v>
      </c>
    </row>
    <row r="7" spans="1:2">
      <c r="A7" s="18" t="s">
        <v>296</v>
      </c>
      <c r="B7" s="136">
        <f>ROUND(SUM(应收账款明细表!N:N),2)</f>
        <v>0</v>
      </c>
    </row>
    <row r="8" spans="1:2">
      <c r="A8" s="18" t="s">
        <v>262</v>
      </c>
      <c r="B8" s="1">
        <f>ROUND(SUM(B2:B7),2)</f>
        <v>0</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sheetPr codeName="Sheet97">
    <tabColor rgb="FFFFC000"/>
  </sheetPr>
  <dimension ref="A1:H4"/>
  <sheetViews>
    <sheetView workbookViewId="0">
      <selection activeCell="F25" sqref="F25"/>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28</v>
      </c>
      <c r="B1" s="20" t="s">
        <v>200</v>
      </c>
      <c r="C1" s="32" t="s">
        <v>226</v>
      </c>
      <c r="D1" s="32" t="s">
        <v>227</v>
      </c>
      <c r="E1" s="32" t="s">
        <v>228</v>
      </c>
      <c r="F1" s="32" t="s">
        <v>229</v>
      </c>
      <c r="G1" s="32" t="s">
        <v>230</v>
      </c>
      <c r="H1" s="32" t="s">
        <v>3342</v>
      </c>
    </row>
    <row r="2" spans="1:8" ht="14.4">
      <c r="A2" s="19" t="s">
        <v>240</v>
      </c>
      <c r="B2" s="68">
        <f>ROUND(SUMIF(应收账款明细表!C:C,"单项金额重大并单项计提坏账准备",应收账款明细表!O:O),2)</f>
        <v>0</v>
      </c>
      <c r="C2" s="68">
        <f>ROUND(SUMIF(应收账款明细表!C:C,"单项金额重大并单项计提坏账准备",应收账款明细表!P:P),2)</f>
        <v>0</v>
      </c>
      <c r="D2" s="68"/>
      <c r="E2" s="68">
        <f>ROUND(SUMIF(应收账款明细表!C:C,"单项金额重大并单项计提坏账准备",应收账款明细表!Q:Q),2)</f>
        <v>0</v>
      </c>
      <c r="F2" s="68">
        <f>ROUND(SUMIF(应收账款明细表!C:C,"单项金额重大并单项计提坏账准备",应收账款明细表!R:R),2)</f>
        <v>0</v>
      </c>
      <c r="G2" s="68"/>
      <c r="H2" s="68">
        <f>ROUND(B2+C2+D2-E2-F2-G2,2)</f>
        <v>0</v>
      </c>
    </row>
    <row r="3" spans="1:8" ht="14.4">
      <c r="A3" s="19" t="s">
        <v>241</v>
      </c>
      <c r="B3" s="68">
        <f>ROUND(SUMIF(应收账款明细表!C:C,"按信用风险特征组合计提坏账准备",应收账款明细表!O:O),2)</f>
        <v>0</v>
      </c>
      <c r="C3" s="68">
        <f>ROUND(SUMIF(应收账款明细表!C:C,"按信用风险特征组合计提坏账准备",应收账款明细表!P:P),2)</f>
        <v>0</v>
      </c>
      <c r="D3" s="68"/>
      <c r="E3" s="68">
        <f>ROUND(SUMIF(应收账款明细表!C:C,"按信用风险特征组合计提坏账准备",应收账款明细表!Q:Q),2)</f>
        <v>0</v>
      </c>
      <c r="F3" s="68">
        <f>ROUND(SUMIF(应收账款明细表!C:C,"按信用风险特征组合计提坏账准备",应收账款明细表!R:R),2)</f>
        <v>0</v>
      </c>
      <c r="G3" s="68"/>
      <c r="H3" s="68">
        <f>ROUND(B3+C3+D3-E3-F3-G3,2)</f>
        <v>0</v>
      </c>
    </row>
    <row r="4" spans="1:8" ht="14.4">
      <c r="A4" s="20" t="s">
        <v>262</v>
      </c>
      <c r="B4" s="68">
        <f t="shared" ref="B4:G4" si="0">ROUND(SUM(B2:B3),2)</f>
        <v>0</v>
      </c>
      <c r="C4" s="68">
        <f t="shared" si="0"/>
        <v>0</v>
      </c>
      <c r="D4" s="68">
        <f t="shared" si="0"/>
        <v>0</v>
      </c>
      <c r="E4" s="68">
        <f t="shared" si="0"/>
        <v>0</v>
      </c>
      <c r="F4" s="68">
        <f t="shared" si="0"/>
        <v>0</v>
      </c>
      <c r="G4" s="68">
        <f t="shared" si="0"/>
        <v>0</v>
      </c>
      <c r="H4" s="68">
        <f>ROUND(B4+C4+D4-E4-F4-G4,2)</f>
        <v>0</v>
      </c>
    </row>
  </sheetData>
  <phoneticPr fontId="1" type="noConversion"/>
  <pageMargins left="0.7" right="0.7" top="0.75" bottom="0.75" header="0.3" footer="0.3"/>
  <pageSetup paperSize="9" orientation="portrait" verticalDpi="0"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codeName="Sheet86">
    <tabColor rgb="FFFFC000"/>
  </sheetPr>
  <dimension ref="A1:D4"/>
  <sheetViews>
    <sheetView workbookViewId="0">
      <selection activeCell="D12" sqref="D12"/>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242</v>
      </c>
      <c r="B1" s="18" t="s">
        <v>3340</v>
      </c>
      <c r="C1" s="18" t="s">
        <v>248</v>
      </c>
      <c r="D1" s="18" t="s">
        <v>249</v>
      </c>
    </row>
    <row r="2" spans="1:4">
      <c r="A2" s="246"/>
      <c r="B2" s="246"/>
      <c r="C2" s="246"/>
      <c r="D2" s="246"/>
    </row>
    <row r="3" spans="1:4">
      <c r="A3" s="246"/>
      <c r="B3" s="246"/>
      <c r="C3" s="246"/>
      <c r="D3" s="246"/>
    </row>
    <row r="4" spans="1:4">
      <c r="A4" s="18" t="s">
        <v>204</v>
      </c>
      <c r="B4" s="18">
        <f>ROUND(SUM(B2:B3),2)</f>
        <v>0</v>
      </c>
      <c r="C4" s="18">
        <f>ROUND(SUM(C2:C3),2)</f>
        <v>0</v>
      </c>
      <c r="D4" s="18" t="s">
        <v>247</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codeName="Sheet87">
    <tabColor rgb="FFFFC000"/>
  </sheetPr>
  <dimension ref="A1:F6"/>
  <sheetViews>
    <sheetView workbookViewId="0">
      <selection activeCell="I16" sqref="I16"/>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242</v>
      </c>
      <c r="B1" s="18" t="s">
        <v>250</v>
      </c>
      <c r="C1" s="18" t="s">
        <v>3339</v>
      </c>
      <c r="D1" s="18" t="s">
        <v>233</v>
      </c>
      <c r="E1" s="18" t="s">
        <v>234</v>
      </c>
      <c r="F1" s="18" t="s">
        <v>251</v>
      </c>
    </row>
    <row r="2" spans="1:6">
      <c r="A2" s="246"/>
      <c r="B2" s="246"/>
      <c r="C2" s="246"/>
      <c r="D2" s="246"/>
      <c r="E2" s="246"/>
      <c r="F2" s="246"/>
    </row>
    <row r="3" spans="1:6">
      <c r="A3" s="246"/>
      <c r="B3" s="246"/>
      <c r="C3" s="246"/>
      <c r="D3" s="246"/>
      <c r="E3" s="246"/>
      <c r="F3" s="246"/>
    </row>
    <row r="4" spans="1:6">
      <c r="A4" s="246"/>
      <c r="B4" s="246"/>
      <c r="C4" s="246"/>
      <c r="D4" s="246"/>
      <c r="E4" s="246"/>
      <c r="F4" s="246"/>
    </row>
    <row r="5" spans="1:6">
      <c r="A5" s="246"/>
      <c r="B5" s="246"/>
      <c r="C5" s="246"/>
      <c r="D5" s="246"/>
      <c r="E5" s="246"/>
      <c r="F5" s="246"/>
    </row>
    <row r="6" spans="1:6">
      <c r="A6" s="18" t="s">
        <v>204</v>
      </c>
      <c r="B6" s="18" t="s">
        <v>247</v>
      </c>
      <c r="C6" s="1">
        <f>ROUND(SUM(C2:C5),2)</f>
        <v>0</v>
      </c>
      <c r="D6" s="18" t="s">
        <v>247</v>
      </c>
      <c r="E6" s="18" t="s">
        <v>247</v>
      </c>
      <c r="F6" s="18" t="s">
        <v>247</v>
      </c>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sheetPr codeName="Sheet88">
    <tabColor rgb="FFFFC000"/>
  </sheetPr>
  <dimension ref="A1:D7"/>
  <sheetViews>
    <sheetView workbookViewId="0">
      <selection activeCell="B8" sqref="B8"/>
    </sheetView>
  </sheetViews>
  <sheetFormatPr defaultRowHeight="13.8"/>
  <cols>
    <col min="1" max="1" width="38" style="62" bestFit="1" customWidth="1"/>
    <col min="2" max="2" width="13.109375" style="18" bestFit="1" customWidth="1"/>
    <col min="3" max="3" width="28.109375" style="18" bestFit="1" customWidth="1"/>
    <col min="4" max="4" width="12.109375" style="18" bestFit="1" customWidth="1"/>
    <col min="5" max="16384" width="8.88671875" style="18"/>
  </cols>
  <sheetData>
    <row r="1" spans="1:4">
      <c r="A1" s="62" t="s">
        <v>242</v>
      </c>
      <c r="B1" s="18" t="s">
        <v>3337</v>
      </c>
      <c r="C1" s="18" t="s">
        <v>252</v>
      </c>
      <c r="D1" s="18" t="s">
        <v>213</v>
      </c>
    </row>
    <row r="2" spans="1:4">
      <c r="A2" s="285">
        <f>INDEX(应收账款明细表!B:B,MATCH(B2,应收账款明细表!H:H,0))</f>
        <v>0</v>
      </c>
      <c r="B2" s="286">
        <f>ROUND(LARGE(应收账款明细表!H:H,1),2)</f>
        <v>0</v>
      </c>
      <c r="C2" s="18" t="e">
        <f>ROUND(B2/本期TB!$H$15*100,2)</f>
        <v>#DIV/0!</v>
      </c>
      <c r="D2" s="136" t="str">
        <f>_xlfn.IFNA(VLOOKUP(A2,应收账款明细表!B:S,18,0),"")</f>
        <v/>
      </c>
    </row>
    <row r="3" spans="1:4">
      <c r="A3" s="285">
        <f>INDEX(应收账款明细表!B:B,MATCH(B3,应收账款明细表!H:H,0))</f>
        <v>0</v>
      </c>
      <c r="B3" s="286">
        <f>ROUND(LARGE(应收账款明细表!H:H,2),2)</f>
        <v>0</v>
      </c>
      <c r="C3" s="18" t="e">
        <f>ROUND(B3/本期TB!$H$15*100,2)</f>
        <v>#DIV/0!</v>
      </c>
      <c r="D3" s="136" t="str">
        <f>_xlfn.IFNA(VLOOKUP(A3,应收账款明细表!B:S,18,0),"")</f>
        <v/>
      </c>
    </row>
    <row r="4" spans="1:4">
      <c r="A4" s="285">
        <f>INDEX(应收账款明细表!B:B,MATCH(B4,应收账款明细表!H:H,0))</f>
        <v>0</v>
      </c>
      <c r="B4" s="286">
        <f>ROUND(LARGE(应收账款明细表!H:H,3),2)</f>
        <v>0</v>
      </c>
      <c r="C4" s="18" t="e">
        <f>ROUND(B4/本期TB!$H$15*100,2)</f>
        <v>#DIV/0!</v>
      </c>
      <c r="D4" s="136" t="str">
        <f>_xlfn.IFNA(VLOOKUP(A4,应收账款明细表!B:S,18,0),"")</f>
        <v/>
      </c>
    </row>
    <row r="5" spans="1:4">
      <c r="A5" s="285">
        <f>INDEX(应收账款明细表!B:B,MATCH(B5,应收账款明细表!H:H,0))</f>
        <v>0</v>
      </c>
      <c r="B5" s="286">
        <f>ROUND(LARGE(应收账款明细表!H:H,4),2)</f>
        <v>0</v>
      </c>
      <c r="C5" s="18" t="e">
        <f>ROUND(B5/本期TB!$H$15*100,2)</f>
        <v>#DIV/0!</v>
      </c>
      <c r="D5" s="136" t="str">
        <f>_xlfn.IFNA(VLOOKUP(A5,应收账款明细表!B:S,18,0),"")</f>
        <v/>
      </c>
    </row>
    <row r="6" spans="1:4">
      <c r="A6" s="285">
        <f>INDEX(应收账款明细表!B:B,MATCH(B6,应收账款明细表!H:H,0))</f>
        <v>0</v>
      </c>
      <c r="B6" s="286">
        <f>ROUND(LARGE(应收账款明细表!H:H,5),2)</f>
        <v>0</v>
      </c>
      <c r="C6" s="18" t="e">
        <f>ROUND(B6/本期TB!$H$15*100,2)</f>
        <v>#DIV/0!</v>
      </c>
      <c r="D6" s="136" t="str">
        <f>_xlfn.IFNA(VLOOKUP(A6,应收账款明细表!B:S,18,0),"")</f>
        <v/>
      </c>
    </row>
    <row r="7" spans="1:4">
      <c r="A7" s="62" t="s">
        <v>204</v>
      </c>
      <c r="B7" s="63">
        <f>ROUND(SUM(B2:B6),2)</f>
        <v>0</v>
      </c>
      <c r="C7" s="18" t="e">
        <f>ROUND(B7/本期TB!$H$15*100,2)</f>
        <v>#DIV/0!</v>
      </c>
      <c r="D7" s="1">
        <f>ROUND(SUM(D2:D6),2)</f>
        <v>0</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codeName="Sheet89">
    <tabColor rgb="FFFFC000"/>
  </sheetPr>
  <dimension ref="A1:C6"/>
  <sheetViews>
    <sheetView workbookViewId="0">
      <selection activeCell="C14" sqref="C1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242</v>
      </c>
      <c r="B1" s="18" t="s">
        <v>2386</v>
      </c>
      <c r="C1" s="18" t="s">
        <v>253</v>
      </c>
    </row>
    <row r="2" spans="1:3">
      <c r="A2" s="246"/>
      <c r="B2" s="246"/>
      <c r="C2" s="246"/>
    </row>
    <row r="3" spans="1:3">
      <c r="A3" s="246"/>
      <c r="B3" s="246"/>
      <c r="C3" s="246"/>
    </row>
    <row r="4" spans="1:3">
      <c r="A4" s="246"/>
      <c r="B4" s="246"/>
      <c r="C4" s="246"/>
    </row>
    <row r="5" spans="1:3">
      <c r="A5" s="246"/>
      <c r="B5" s="246"/>
      <c r="C5" s="246"/>
    </row>
    <row r="6" spans="1:3">
      <c r="A6" s="18" t="s">
        <v>204</v>
      </c>
      <c r="B6" s="18">
        <f>ROUND(SUM(B2:B5),2)</f>
        <v>0</v>
      </c>
      <c r="C6" s="18">
        <f>ROUND(SUM(C2:C5),2)</f>
        <v>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codeName="Sheet90">
    <tabColor rgb="FFFFC000"/>
  </sheetPr>
  <dimension ref="A1:B9"/>
  <sheetViews>
    <sheetView workbookViewId="0">
      <selection activeCell="J29" sqref="J29"/>
    </sheetView>
  </sheetViews>
  <sheetFormatPr defaultRowHeight="13.8"/>
  <cols>
    <col min="1" max="1" width="9.5546875" style="18" bestFit="1" customWidth="1"/>
    <col min="2" max="2" width="16.44140625" style="1" customWidth="1"/>
    <col min="3" max="16384" width="8.88671875" style="18"/>
  </cols>
  <sheetData>
    <row r="1" spans="1:2">
      <c r="A1" s="18" t="s">
        <v>28</v>
      </c>
      <c r="B1" s="1" t="s">
        <v>199</v>
      </c>
    </row>
    <row r="2" spans="1:2">
      <c r="A2" s="18" t="s">
        <v>254</v>
      </c>
    </row>
    <row r="3" spans="1:2">
      <c r="A3" s="246"/>
      <c r="B3" s="138"/>
    </row>
    <row r="4" spans="1:2">
      <c r="A4" s="246"/>
      <c r="B4" s="138"/>
    </row>
    <row r="5" spans="1:2">
      <c r="A5" s="18" t="s">
        <v>255</v>
      </c>
      <c r="B5" s="1">
        <f>SUM(B3:B4)</f>
        <v>0</v>
      </c>
    </row>
    <row r="6" spans="1:2">
      <c r="A6" s="18" t="s">
        <v>256</v>
      </c>
    </row>
    <row r="7" spans="1:2">
      <c r="A7" s="246"/>
      <c r="B7" s="138"/>
    </row>
    <row r="8" spans="1:2">
      <c r="A8" s="246"/>
      <c r="B8" s="138"/>
    </row>
    <row r="9" spans="1:2">
      <c r="A9" s="18" t="s">
        <v>257</v>
      </c>
      <c r="B9" s="1">
        <f>SUM(B7:B8)</f>
        <v>0</v>
      </c>
    </row>
  </sheetData>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sheetPr codeName="Sheet8"/>
  <dimension ref="A1:L260"/>
  <sheetViews>
    <sheetView view="pageBreakPreview" topLeftCell="A234" zoomScale="85" zoomScaleNormal="100" zoomScaleSheetLayoutView="85" workbookViewId="0">
      <selection activeCell="G257" sqref="G257"/>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794</v>
      </c>
      <c r="B1" s="108" t="s">
        <v>795</v>
      </c>
      <c r="C1" s="62" t="s">
        <v>796</v>
      </c>
      <c r="D1" s="62" t="s">
        <v>797</v>
      </c>
      <c r="E1" s="62" t="s">
        <v>798</v>
      </c>
      <c r="F1" s="62" t="s">
        <v>799</v>
      </c>
      <c r="G1" s="62" t="s">
        <v>793</v>
      </c>
      <c r="H1" s="62" t="s">
        <v>800</v>
      </c>
    </row>
    <row r="2" spans="1:12">
      <c r="A2" s="109" t="s">
        <v>801</v>
      </c>
      <c r="B2" s="109"/>
      <c r="C2" s="110"/>
      <c r="D2" s="110"/>
      <c r="E2" s="110"/>
      <c r="I2" s="18" t="s">
        <v>802</v>
      </c>
      <c r="J2" s="18" t="s">
        <v>803</v>
      </c>
      <c r="K2" s="18" t="s">
        <v>804</v>
      </c>
      <c r="L2" s="18" t="s">
        <v>805</v>
      </c>
    </row>
    <row r="3" spans="1:12">
      <c r="A3" s="111" t="s">
        <v>806</v>
      </c>
      <c r="B3" s="111"/>
      <c r="C3" s="110"/>
      <c r="D3" s="110"/>
      <c r="E3" s="110">
        <f>SUM(E4:E6)</f>
        <v>0</v>
      </c>
      <c r="F3" s="110">
        <f t="shared" ref="F3:G3" si="0">SUM(C4:C6)</f>
        <v>0</v>
      </c>
      <c r="G3" s="110">
        <f t="shared" si="0"/>
        <v>0</v>
      </c>
      <c r="H3" s="110">
        <f>SUM(H4:H6)</f>
        <v>0</v>
      </c>
    </row>
    <row r="4" spans="1:12">
      <c r="A4" s="111" t="s">
        <v>807</v>
      </c>
      <c r="B4" s="112" t="s">
        <v>808</v>
      </c>
      <c r="C4" s="110"/>
      <c r="D4" s="110"/>
      <c r="E4" s="113"/>
      <c r="F4" s="1">
        <f>ROUND(SUMIF(上期ETY!D:D,B4,上期ETY!F:F),2)</f>
        <v>0</v>
      </c>
      <c r="G4" s="1">
        <f>ROUND(SUMIF(上期ETY!D:D,B4,上期ETY!G:G),2)</f>
        <v>0</v>
      </c>
      <c r="H4" s="114">
        <f>ROUND(E4+F4-G4,2)</f>
        <v>0</v>
      </c>
      <c r="I4" s="18" t="s">
        <v>809</v>
      </c>
      <c r="K4" s="18" t="s">
        <v>810</v>
      </c>
      <c r="L4" s="18" t="str">
        <f>_xlfn.IFNA(VLOOKUP(I4,科目余额表!B:M,11,0),K4)</f>
        <v>借</v>
      </c>
    </row>
    <row r="5" spans="1:12">
      <c r="A5" s="111" t="s">
        <v>811</v>
      </c>
      <c r="B5" s="112" t="s">
        <v>812</v>
      </c>
      <c r="C5" s="110"/>
      <c r="D5" s="110"/>
      <c r="E5" s="113"/>
      <c r="F5" s="1">
        <f>ROUND(SUMIF(上期ETY!D:D,B5,上期ETY!F:F),2)</f>
        <v>0</v>
      </c>
      <c r="G5" s="1">
        <f>ROUND(SUMIF(上期ETY!D:D,B5,上期ETY!G:G),2)</f>
        <v>0</v>
      </c>
      <c r="H5" s="114">
        <f>ROUND(E5+F5-G5,2)</f>
        <v>0</v>
      </c>
      <c r="I5" s="18" t="s">
        <v>813</v>
      </c>
      <c r="K5" s="18" t="s">
        <v>810</v>
      </c>
      <c r="L5" s="18" t="str">
        <f>_xlfn.IFNA(VLOOKUP(I5,科目余额表!B:M,11,0),K5)</f>
        <v>借</v>
      </c>
    </row>
    <row r="6" spans="1:12">
      <c r="A6" s="111" t="s">
        <v>814</v>
      </c>
      <c r="B6" s="112" t="s">
        <v>193</v>
      </c>
      <c r="C6" s="110"/>
      <c r="D6" s="110"/>
      <c r="E6" s="113"/>
      <c r="F6" s="1">
        <f>ROUND(SUMIF(上期ETY!D:D,B6,上期ETY!F:F),2)</f>
        <v>0</v>
      </c>
      <c r="G6" s="1">
        <f>ROUND(SUMIF(上期ETY!D:D,B6,上期ETY!G:G),2)</f>
        <v>0</v>
      </c>
      <c r="H6" s="114">
        <f t="shared" ref="H6:H56" si="1">ROUND(E6+F6-G6,2)</f>
        <v>0</v>
      </c>
      <c r="I6" s="18" t="s">
        <v>815</v>
      </c>
      <c r="K6" s="18" t="s">
        <v>810</v>
      </c>
      <c r="L6" s="18" t="str">
        <f>_xlfn.IFNA(VLOOKUP(I6,科目余额表!B:M,11,0),K6)</f>
        <v>借</v>
      </c>
    </row>
    <row r="7" spans="1:12">
      <c r="A7" s="111" t="s">
        <v>816</v>
      </c>
      <c r="B7" s="112" t="s">
        <v>817</v>
      </c>
      <c r="C7" s="110"/>
      <c r="D7" s="110"/>
      <c r="E7" s="113"/>
      <c r="F7" s="1">
        <f>ROUND(SUMIF(上期ETY!D:D,B7,上期ETY!F:F),2)</f>
        <v>0</v>
      </c>
      <c r="G7" s="1">
        <f>ROUND(SUMIF(上期ETY!D:D,B7,上期ETY!G:G),2)</f>
        <v>0</v>
      </c>
      <c r="H7" s="114">
        <f t="shared" si="1"/>
        <v>0</v>
      </c>
      <c r="I7" s="18" t="s">
        <v>818</v>
      </c>
      <c r="K7" s="18" t="s">
        <v>810</v>
      </c>
      <c r="L7" s="18" t="str">
        <f>_xlfn.IFNA(VLOOKUP(I7,科目余额表!B:M,11,0),K7)</f>
        <v>借</v>
      </c>
    </row>
    <row r="8" spans="1:12">
      <c r="A8" s="111" t="s">
        <v>819</v>
      </c>
      <c r="B8" s="112" t="s">
        <v>820</v>
      </c>
      <c r="C8" s="110"/>
      <c r="D8" s="110"/>
      <c r="E8" s="113"/>
      <c r="F8" s="1">
        <f>ROUND(SUMIF(上期ETY!D:D,B8,上期ETY!F:F),2)</f>
        <v>0</v>
      </c>
      <c r="G8" s="1">
        <f>ROUND(SUMIF(上期ETY!D:D,B8,上期ETY!G:G),2)</f>
        <v>0</v>
      </c>
      <c r="H8" s="114">
        <f t="shared" si="1"/>
        <v>0</v>
      </c>
      <c r="I8" s="18" t="s">
        <v>821</v>
      </c>
      <c r="K8" s="18" t="s">
        <v>810</v>
      </c>
      <c r="L8" s="18" t="str">
        <f>_xlfn.IFNA(VLOOKUP(I8,科目余额表!B:M,11,0),K8)</f>
        <v>借</v>
      </c>
    </row>
    <row r="9" spans="1:12">
      <c r="A9" s="115" t="s">
        <v>822</v>
      </c>
      <c r="B9" s="112" t="s">
        <v>5</v>
      </c>
      <c r="C9" s="110"/>
      <c r="D9" s="116" t="s">
        <v>823</v>
      </c>
      <c r="E9" s="113"/>
      <c r="F9" s="1">
        <f>ROUND(SUMIF(上期ETY!D:D,B9,上期ETY!F:F),2)</f>
        <v>0</v>
      </c>
      <c r="G9" s="1">
        <f>ROUND(SUMIF(上期ETY!D:D,B9,上期ETY!G:G),2)</f>
        <v>0</v>
      </c>
      <c r="H9" s="114">
        <f t="shared" si="1"/>
        <v>0</v>
      </c>
      <c r="I9" s="18" t="s">
        <v>5</v>
      </c>
      <c r="K9" s="18" t="s">
        <v>810</v>
      </c>
      <c r="L9" s="18" t="str">
        <f>_xlfn.IFNA(VLOOKUP(I9,科目余额表!B:M,11,0),K9)</f>
        <v>借</v>
      </c>
    </row>
    <row r="10" spans="1:12">
      <c r="A10" s="115" t="s">
        <v>824</v>
      </c>
      <c r="B10" s="112" t="s">
        <v>3</v>
      </c>
      <c r="C10" s="116" t="s">
        <v>825</v>
      </c>
      <c r="D10" s="116"/>
      <c r="E10" s="113"/>
      <c r="F10" s="1">
        <f>ROUND(SUMIF(上期ETY!D:D,B10,上期ETY!F:F),2)</f>
        <v>0</v>
      </c>
      <c r="G10" s="1">
        <f>ROUND(SUMIF(上期ETY!D:D,B10,上期ETY!G:G),2)</f>
        <v>0</v>
      </c>
      <c r="H10" s="114">
        <f t="shared" si="1"/>
        <v>0</v>
      </c>
      <c r="I10" s="18" t="s">
        <v>3</v>
      </c>
      <c r="K10" s="18" t="s">
        <v>810</v>
      </c>
      <c r="L10" s="18" t="str">
        <f>_xlfn.IFNA(VLOOKUP(I10,科目余额表!B:M,11,0),K10)</f>
        <v>借</v>
      </c>
    </row>
    <row r="11" spans="1:12">
      <c r="A11" s="112" t="s">
        <v>826</v>
      </c>
      <c r="B11" s="112" t="s">
        <v>420</v>
      </c>
      <c r="C11" s="110"/>
      <c r="D11" s="110"/>
      <c r="E11" s="113"/>
      <c r="F11" s="1">
        <f>ROUND(SUMIF(上期ETY!D:D,B11,上期ETY!F:F),2)</f>
        <v>0</v>
      </c>
      <c r="G11" s="1">
        <f>ROUND(SUMIF(上期ETY!D:D,B11,上期ETY!G:G),2)</f>
        <v>0</v>
      </c>
      <c r="H11" s="114">
        <f t="shared" si="1"/>
        <v>0</v>
      </c>
      <c r="I11" s="18" t="s">
        <v>420</v>
      </c>
      <c r="K11" s="18" t="s">
        <v>810</v>
      </c>
      <c r="L11" s="18" t="str">
        <f>_xlfn.IFNA(VLOOKUP(I11,科目余额表!B:M,11,0),K11)</f>
        <v>借</v>
      </c>
    </row>
    <row r="12" spans="1:12">
      <c r="A12" s="112" t="s">
        <v>827</v>
      </c>
      <c r="B12" s="112" t="s">
        <v>828</v>
      </c>
      <c r="C12" s="110"/>
      <c r="D12" s="110"/>
      <c r="E12" s="113"/>
      <c r="F12" s="1">
        <f>ROUND(SUMIF(上期ETY!D:D,B12,上期ETY!F:F),2)</f>
        <v>0</v>
      </c>
      <c r="G12" s="1">
        <f>ROUND(SUMIF(上期ETY!D:D,B12,上期ETY!G:G),2)</f>
        <v>0</v>
      </c>
      <c r="H12" s="114">
        <f t="shared" si="1"/>
        <v>0</v>
      </c>
      <c r="I12" s="18" t="s">
        <v>6</v>
      </c>
      <c r="K12" s="18" t="s">
        <v>810</v>
      </c>
      <c r="L12" s="18" t="str">
        <f>_xlfn.IFNA(VLOOKUP(I12,科目余额表!B:M,11,0),K12)</f>
        <v>借</v>
      </c>
    </row>
    <row r="13" spans="1:12">
      <c r="A13" s="112" t="s">
        <v>829</v>
      </c>
      <c r="B13" s="112" t="s">
        <v>830</v>
      </c>
      <c r="C13" s="110"/>
      <c r="D13" s="110"/>
      <c r="E13" s="113"/>
      <c r="F13" s="1">
        <f>ROUND(SUMIF(上期ETY!D:D,B13,上期ETY!F:F),2)</f>
        <v>0</v>
      </c>
      <c r="G13" s="1">
        <f>ROUND(SUMIF(上期ETY!D:D,B13,上期ETY!G:G),2)</f>
        <v>0</v>
      </c>
      <c r="H13" s="114">
        <f>ROUND(E13-F13+G13,2)</f>
        <v>0</v>
      </c>
      <c r="I13" s="18" t="s">
        <v>831</v>
      </c>
      <c r="K13" s="18" t="s">
        <v>832</v>
      </c>
      <c r="L13" s="18" t="str">
        <f>_xlfn.IFNA(VLOOKUP(I13,科目余额表!B:M,11,0),K13)</f>
        <v>贷</v>
      </c>
    </row>
    <row r="14" spans="1:12">
      <c r="A14" s="111" t="s">
        <v>833</v>
      </c>
      <c r="B14" s="112"/>
      <c r="C14" s="110"/>
      <c r="D14" s="110"/>
      <c r="E14" s="110">
        <f>E12-E13</f>
        <v>0</v>
      </c>
      <c r="F14" s="110">
        <f t="shared" ref="F14:H14" si="2">F12-F13</f>
        <v>0</v>
      </c>
      <c r="G14" s="110">
        <f t="shared" si="2"/>
        <v>0</v>
      </c>
      <c r="H14" s="110">
        <f t="shared" si="2"/>
        <v>0</v>
      </c>
      <c r="L14" s="18">
        <f>_xlfn.IFNA(VLOOKUP(I14,科目余额表!B:M,11,0),K14)</f>
        <v>0</v>
      </c>
    </row>
    <row r="15" spans="1:12">
      <c r="A15" s="111" t="s">
        <v>834</v>
      </c>
      <c r="B15" s="112" t="s">
        <v>835</v>
      </c>
      <c r="C15" s="110"/>
      <c r="D15" s="110"/>
      <c r="E15" s="113"/>
      <c r="F15" s="1">
        <f>ROUND(SUMIF(上期ETY!D:D,B15,上期ETY!F:F),2)</f>
        <v>0</v>
      </c>
      <c r="G15" s="1">
        <f>ROUND(SUMIF(上期ETY!D:D,B15,上期ETY!G:G),2)</f>
        <v>0</v>
      </c>
      <c r="H15" s="114">
        <f t="shared" si="1"/>
        <v>0</v>
      </c>
      <c r="I15" s="18" t="s">
        <v>9</v>
      </c>
      <c r="K15" s="18" t="s">
        <v>810</v>
      </c>
      <c r="L15" s="18" t="str">
        <f>_xlfn.IFNA(VLOOKUP(I15,科目余额表!B:M,11,0),K15)</f>
        <v>借</v>
      </c>
    </row>
    <row r="16" spans="1:12">
      <c r="A16" s="111" t="s">
        <v>836</v>
      </c>
      <c r="B16" s="112" t="s">
        <v>837</v>
      </c>
      <c r="C16" s="110"/>
      <c r="D16" s="110"/>
      <c r="E16" s="113"/>
      <c r="F16" s="1">
        <f>ROUND(SUMIF(上期ETY!D:D,B16,上期ETY!F:F),2)</f>
        <v>0</v>
      </c>
      <c r="G16" s="1">
        <f>ROUND(SUMIF(上期ETY!D:D,B16,上期ETY!G:G),2)</f>
        <v>0</v>
      </c>
      <c r="H16" s="114">
        <f>ROUND(E16-F16+G16,2)</f>
        <v>0</v>
      </c>
      <c r="I16" s="18" t="s">
        <v>838</v>
      </c>
      <c r="K16" s="18" t="s">
        <v>832</v>
      </c>
      <c r="L16" s="18" t="str">
        <f>_xlfn.IFNA(VLOOKUP(I16,科目余额表!B:M,11,0),K16)</f>
        <v>贷</v>
      </c>
    </row>
    <row r="17" spans="1:12">
      <c r="A17" s="112" t="s">
        <v>839</v>
      </c>
      <c r="B17" s="112"/>
      <c r="C17" s="110"/>
      <c r="D17" s="110"/>
      <c r="E17" s="110">
        <f>E15-E16</f>
        <v>0</v>
      </c>
      <c r="F17" s="110">
        <f t="shared" ref="F17:H17" si="3">F15-F16</f>
        <v>0</v>
      </c>
      <c r="G17" s="110"/>
      <c r="H17" s="110">
        <f t="shared" si="3"/>
        <v>0</v>
      </c>
      <c r="L17" s="18">
        <f>_xlfn.IFNA(VLOOKUP(I17,科目余额表!B:M,11,0),K17)</f>
        <v>0</v>
      </c>
    </row>
    <row r="18" spans="1:12">
      <c r="A18" s="112" t="s">
        <v>840</v>
      </c>
      <c r="B18" s="112" t="s">
        <v>7</v>
      </c>
      <c r="C18" s="110"/>
      <c r="D18" s="116" t="s">
        <v>823</v>
      </c>
      <c r="E18" s="113"/>
      <c r="F18" s="1">
        <f>ROUND(SUMIF(上期ETY!D:D,B18,上期ETY!F:F),2)</f>
        <v>0</v>
      </c>
      <c r="G18" s="1">
        <f>ROUND(SUMIF(上期ETY!D:D,B18,上期ETY!G:G),2)</f>
        <v>0</v>
      </c>
      <c r="H18" s="114">
        <f t="shared" si="1"/>
        <v>0</v>
      </c>
      <c r="I18" s="18" t="s">
        <v>7</v>
      </c>
      <c r="K18" s="18" t="s">
        <v>810</v>
      </c>
      <c r="L18" s="18" t="str">
        <f>_xlfn.IFNA(VLOOKUP(I18,科目余额表!B:M,11,0),K18)</f>
        <v>借</v>
      </c>
    </row>
    <row r="19" spans="1:12">
      <c r="A19" s="111" t="s">
        <v>841</v>
      </c>
      <c r="B19" s="112" t="s">
        <v>842</v>
      </c>
      <c r="C19" s="110"/>
      <c r="D19" s="110"/>
      <c r="E19" s="113"/>
      <c r="F19" s="1">
        <f>ROUND(SUMIF(上期ETY!D:D,B19,上期ETY!F:F),2)</f>
        <v>0</v>
      </c>
      <c r="G19" s="1">
        <f>ROUND(SUMIF(上期ETY!D:D,B19,上期ETY!G:G),2)</f>
        <v>0</v>
      </c>
      <c r="H19" s="114">
        <f t="shared" si="1"/>
        <v>0</v>
      </c>
      <c r="I19" s="18" t="s">
        <v>843</v>
      </c>
      <c r="K19" s="18" t="s">
        <v>810</v>
      </c>
      <c r="L19" s="18" t="str">
        <f>_xlfn.IFNA(VLOOKUP(I19,科目余额表!B:M,11,0),K19)</f>
        <v>借</v>
      </c>
    </row>
    <row r="20" spans="1:12">
      <c r="A20" s="111" t="s">
        <v>844</v>
      </c>
      <c r="B20" s="112" t="s">
        <v>845</v>
      </c>
      <c r="C20" s="110"/>
      <c r="D20" s="110"/>
      <c r="E20" s="113"/>
      <c r="F20" s="1">
        <f>ROUND(SUMIF(上期ETY!D:D,B20,上期ETY!F:F),2)</f>
        <v>0</v>
      </c>
      <c r="G20" s="1">
        <f>ROUND(SUMIF(上期ETY!D:D,B20,上期ETY!G:G),2)</f>
        <v>0</v>
      </c>
      <c r="H20" s="114">
        <f t="shared" si="1"/>
        <v>0</v>
      </c>
      <c r="I20" s="18" t="s">
        <v>845</v>
      </c>
      <c r="K20" s="18" t="s">
        <v>810</v>
      </c>
      <c r="L20" s="18" t="str">
        <f>_xlfn.IFNA(VLOOKUP(I20,科目余额表!B:M,11,0),K20)</f>
        <v>借</v>
      </c>
    </row>
    <row r="21" spans="1:12">
      <c r="A21" s="111" t="s">
        <v>846</v>
      </c>
      <c r="B21" s="112" t="s">
        <v>847</v>
      </c>
      <c r="C21" s="110"/>
      <c r="D21" s="110"/>
      <c r="E21" s="113"/>
      <c r="F21" s="1">
        <f>ROUND(SUMIF(上期ETY!D:D,B21,上期ETY!F:F),2)</f>
        <v>0</v>
      </c>
      <c r="G21" s="1">
        <f>ROUND(SUMIF(上期ETY!D:D,B21,上期ETY!G:G),2)</f>
        <v>0</v>
      </c>
      <c r="H21" s="114">
        <f t="shared" si="1"/>
        <v>0</v>
      </c>
      <c r="I21" s="18" t="s">
        <v>847</v>
      </c>
      <c r="K21" s="18" t="s">
        <v>810</v>
      </c>
      <c r="L21" s="18" t="str">
        <f>_xlfn.IFNA(VLOOKUP(I21,科目余额表!B:M,11,0),K21)</f>
        <v>借</v>
      </c>
    </row>
    <row r="22" spans="1:12">
      <c r="A22" s="111" t="s">
        <v>848</v>
      </c>
      <c r="B22" s="112" t="s">
        <v>849</v>
      </c>
      <c r="C22" s="110"/>
      <c r="D22" s="110"/>
      <c r="E22" s="113"/>
      <c r="F22" s="1">
        <f>ROUND(SUMIF(上期ETY!D:D,B22,上期ETY!F:F),2)</f>
        <v>0</v>
      </c>
      <c r="G22" s="1">
        <f>ROUND(SUMIF(上期ETY!D:D,B22,上期ETY!G:G),2)</f>
        <v>0</v>
      </c>
      <c r="H22" s="114">
        <f t="shared" si="1"/>
        <v>0</v>
      </c>
      <c r="I22" s="18" t="s">
        <v>849</v>
      </c>
      <c r="K22" s="18" t="s">
        <v>810</v>
      </c>
      <c r="L22" s="18" t="str">
        <f>_xlfn.IFNA(VLOOKUP(I22,科目余额表!B:M,11,0),K22)</f>
        <v>借</v>
      </c>
    </row>
    <row r="23" spans="1:12">
      <c r="A23" s="111" t="s">
        <v>850</v>
      </c>
      <c r="B23" s="112" t="s">
        <v>851</v>
      </c>
      <c r="C23" s="110"/>
      <c r="D23" s="110"/>
      <c r="E23" s="113"/>
      <c r="F23" s="1">
        <f>ROUND(SUMIF(上期ETY!D:D,B23,上期ETY!F:F),2)</f>
        <v>0</v>
      </c>
      <c r="G23" s="1">
        <f>ROUND(SUMIF(上期ETY!D:D,B23,上期ETY!G:G),2)</f>
        <v>0</v>
      </c>
      <c r="H23" s="114">
        <f t="shared" si="1"/>
        <v>0</v>
      </c>
      <c r="I23" s="18" t="s">
        <v>281</v>
      </c>
      <c r="K23" s="18" t="s">
        <v>810</v>
      </c>
      <c r="L23" s="18" t="str">
        <f>_xlfn.IFNA(VLOOKUP(I23,科目余额表!B:M,11,0),K23)</f>
        <v>借</v>
      </c>
    </row>
    <row r="24" spans="1:12">
      <c r="A24" s="111" t="s">
        <v>852</v>
      </c>
      <c r="B24" s="112" t="s">
        <v>853</v>
      </c>
      <c r="C24" s="110"/>
      <c r="D24" s="110"/>
      <c r="E24" s="113"/>
      <c r="F24" s="1">
        <f>ROUND(SUMIF(上期ETY!D:D,B24,上期ETY!F:F),2)</f>
        <v>0</v>
      </c>
      <c r="G24" s="1">
        <f>ROUND(SUMIF(上期ETY!D:D,B24,上期ETY!G:G),2)</f>
        <v>0</v>
      </c>
      <c r="H24" s="114">
        <f>ROUND(E24-F24+G24,2)</f>
        <v>0</v>
      </c>
      <c r="I24" s="18" t="s">
        <v>854</v>
      </c>
      <c r="K24" s="18" t="s">
        <v>832</v>
      </c>
      <c r="L24" s="18" t="str">
        <f>_xlfn.IFNA(VLOOKUP(I24,科目余额表!B:M,11,0),K24)</f>
        <v>贷</v>
      </c>
    </row>
    <row r="25" spans="1:12">
      <c r="A25" s="111" t="s">
        <v>855</v>
      </c>
      <c r="B25" s="112"/>
      <c r="C25" s="110"/>
      <c r="D25" s="110"/>
      <c r="E25" s="110">
        <f>E23-E24</f>
        <v>0</v>
      </c>
      <c r="F25" s="1">
        <f>ROUND(SUMIF(上期ETY!D:D,B25,上期ETY!F:F),2)</f>
        <v>0</v>
      </c>
      <c r="G25" s="1">
        <f>ROUND(SUMIF(上期ETY!D:D,B25,上期ETY!G:G),2)</f>
        <v>0</v>
      </c>
      <c r="H25" s="114">
        <f>H23-H24</f>
        <v>0</v>
      </c>
      <c r="L25" s="18">
        <f>_xlfn.IFNA(VLOOKUP(I25,科目余额表!B:M,11,0),K25)</f>
        <v>0</v>
      </c>
    </row>
    <row r="26" spans="1:12">
      <c r="A26" s="401" t="s">
        <v>2886</v>
      </c>
      <c r="B26" s="112" t="s">
        <v>2402</v>
      </c>
      <c r="C26" s="110"/>
      <c r="D26" s="110"/>
      <c r="E26" s="113"/>
      <c r="F26" s="1">
        <f>ROUND(SUMIF(上期ETY!D:D,B26,上期ETY!F:F),2)</f>
        <v>0</v>
      </c>
      <c r="G26" s="1">
        <f>ROUND(SUMIF(上期ETY!D:D,B26,上期ETY!G:G),2)</f>
        <v>0</v>
      </c>
      <c r="H26" s="114">
        <f t="shared" si="1"/>
        <v>0</v>
      </c>
      <c r="I26" s="18" t="s">
        <v>282</v>
      </c>
      <c r="K26" s="18" t="s">
        <v>810</v>
      </c>
      <c r="L26" s="18" t="str">
        <f>_xlfn.IFNA(VLOOKUP(I26,科目余额表!B:M,11,0),K26)</f>
        <v>借</v>
      </c>
    </row>
    <row r="27" spans="1:12">
      <c r="A27" s="401" t="s">
        <v>2887</v>
      </c>
      <c r="B27" s="112" t="s">
        <v>2888</v>
      </c>
      <c r="C27" s="110"/>
      <c r="D27" s="110"/>
      <c r="E27" s="113"/>
      <c r="F27" s="1">
        <f>ROUND(SUMIF(上期ETY!D:D,B27,上期ETY!F:F),2)</f>
        <v>0</v>
      </c>
      <c r="G27" s="1">
        <f>ROUND(SUMIF(上期ETY!D:D,B27,上期ETY!G:G),2)</f>
        <v>0</v>
      </c>
      <c r="H27" s="114">
        <f>ROUND(E27-F27+G27,2)</f>
        <v>0</v>
      </c>
      <c r="I27" s="150" t="s">
        <v>2888</v>
      </c>
      <c r="K27" s="18" t="s">
        <v>832</v>
      </c>
      <c r="L27" s="18" t="str">
        <f>_xlfn.IFNA(VLOOKUP(I27,科目余额表!B:M,11,0),K27)</f>
        <v>贷</v>
      </c>
    </row>
    <row r="28" spans="1:12">
      <c r="A28" s="111" t="s">
        <v>856</v>
      </c>
      <c r="B28" s="112"/>
      <c r="C28" s="110"/>
      <c r="D28" s="110"/>
      <c r="E28" s="110">
        <f>E26-E27</f>
        <v>0</v>
      </c>
      <c r="F28" s="1">
        <f>ROUND(SUMIF(上期ETY!D:D,B28,上期ETY!F:F),2)</f>
        <v>0</v>
      </c>
      <c r="G28" s="1">
        <f>ROUND(SUMIF(上期ETY!D:D,B28,上期ETY!G:G),2)</f>
        <v>0</v>
      </c>
      <c r="H28" s="114">
        <f>H26-H27</f>
        <v>0</v>
      </c>
    </row>
    <row r="29" spans="1:12">
      <c r="A29" s="111" t="s">
        <v>857</v>
      </c>
      <c r="B29" s="112" t="s">
        <v>858</v>
      </c>
      <c r="C29" s="110"/>
      <c r="D29" s="110"/>
      <c r="E29" s="113"/>
      <c r="F29" s="1">
        <f>ROUND(SUMIF(上期ETY!D:D,B29,上期ETY!F:F),2)</f>
        <v>0</v>
      </c>
      <c r="G29" s="1">
        <f>ROUND(SUMIF(上期ETY!D:D,B29,上期ETY!G:G),2)</f>
        <v>0</v>
      </c>
      <c r="H29" s="114">
        <f t="shared" si="1"/>
        <v>0</v>
      </c>
      <c r="I29" s="18" t="s">
        <v>10</v>
      </c>
      <c r="K29" s="18" t="s">
        <v>810</v>
      </c>
      <c r="L29" s="18" t="str">
        <f>_xlfn.IFNA(VLOOKUP(I29,科目余额表!B:M,11,0),K29)</f>
        <v>借</v>
      </c>
    </row>
    <row r="30" spans="1:12">
      <c r="A30" s="111" t="s">
        <v>859</v>
      </c>
      <c r="B30" s="112" t="s">
        <v>860</v>
      </c>
      <c r="C30" s="110"/>
      <c r="D30" s="110"/>
      <c r="E30" s="113"/>
      <c r="F30" s="1">
        <f>ROUND(SUMIF(上期ETY!D:D,B30,上期ETY!F:F),2)</f>
        <v>0</v>
      </c>
      <c r="G30" s="1">
        <f>ROUND(SUMIF(上期ETY!D:D,B30,上期ETY!G:G),2)</f>
        <v>0</v>
      </c>
      <c r="H30" s="114">
        <f>ROUND(E30-F30+G30,2)</f>
        <v>0</v>
      </c>
      <c r="I30" s="18" t="s">
        <v>861</v>
      </c>
      <c r="K30" s="18" t="s">
        <v>832</v>
      </c>
      <c r="L30" s="18" t="str">
        <f>_xlfn.IFNA(VLOOKUP(I30,科目余额表!B:M,11,0),K30)</f>
        <v>贷</v>
      </c>
    </row>
    <row r="31" spans="1:12">
      <c r="A31" s="111" t="s">
        <v>862</v>
      </c>
      <c r="B31" s="112"/>
      <c r="C31" s="110"/>
      <c r="D31" s="110"/>
      <c r="E31" s="110">
        <f>E29-E30</f>
        <v>0</v>
      </c>
      <c r="F31" s="1">
        <f>ROUND(SUMIF(上期ETY!D:D,B31,上期ETY!F:F),2)</f>
        <v>0</v>
      </c>
      <c r="G31" s="1">
        <f>ROUND(SUMIF(上期ETY!D:D,B31,上期ETY!G:G),2)</f>
        <v>0</v>
      </c>
      <c r="H31" s="114">
        <f>H29-H30</f>
        <v>0</v>
      </c>
      <c r="L31" s="18">
        <f>_xlfn.IFNA(VLOOKUP(I31,科目余额表!B:M,11,0),K31)</f>
        <v>0</v>
      </c>
    </row>
    <row r="32" spans="1:12">
      <c r="A32" s="111" t="s">
        <v>863</v>
      </c>
      <c r="B32" s="112" t="s">
        <v>864</v>
      </c>
      <c r="C32" s="110"/>
      <c r="D32" s="110"/>
      <c r="E32" s="113"/>
      <c r="F32" s="1">
        <f>ROUND(SUMIF(上期ETY!D:D,B32,上期ETY!F:F),2)</f>
        <v>0</v>
      </c>
      <c r="G32" s="1">
        <f>ROUND(SUMIF(上期ETY!D:D,B32,上期ETY!G:G),2)</f>
        <v>0</v>
      </c>
      <c r="H32" s="114">
        <f t="shared" si="1"/>
        <v>0</v>
      </c>
      <c r="I32" s="18" t="s">
        <v>864</v>
      </c>
      <c r="K32" s="18" t="s">
        <v>810</v>
      </c>
      <c r="L32" s="18" t="str">
        <f>_xlfn.IFNA(VLOOKUP(I32,科目余额表!B:M,11,0),K32)</f>
        <v>借</v>
      </c>
    </row>
    <row r="33" spans="1:12">
      <c r="A33" s="111" t="s">
        <v>865</v>
      </c>
      <c r="B33" s="112" t="s">
        <v>866</v>
      </c>
      <c r="C33" s="110"/>
      <c r="D33" s="110"/>
      <c r="E33" s="113"/>
      <c r="F33" s="1">
        <f>ROUND(SUMIF(上期ETY!D:D,B33,上期ETY!F:F),2)</f>
        <v>0</v>
      </c>
      <c r="G33" s="1">
        <f>ROUND(SUMIF(上期ETY!D:D,B33,上期ETY!G:G),2)</f>
        <v>0</v>
      </c>
      <c r="H33" s="114">
        <f t="shared" si="1"/>
        <v>0</v>
      </c>
      <c r="I33" s="18" t="s">
        <v>766</v>
      </c>
      <c r="K33" s="18" t="s">
        <v>810</v>
      </c>
      <c r="L33" s="18" t="str">
        <f>_xlfn.IFNA(VLOOKUP(I33,科目余额表!B:M,11,0),K33)</f>
        <v>借</v>
      </c>
    </row>
    <row r="34" spans="1:12">
      <c r="A34" s="111" t="s">
        <v>867</v>
      </c>
      <c r="B34" s="112"/>
      <c r="C34" s="110"/>
      <c r="D34" s="110"/>
      <c r="E34" s="110">
        <f>SUM(E35:E48)</f>
        <v>0</v>
      </c>
      <c r="F34" s="110">
        <f t="shared" ref="F34:G34" si="4">SUM(F35:F47)</f>
        <v>0</v>
      </c>
      <c r="G34" s="110">
        <f t="shared" si="4"/>
        <v>0</v>
      </c>
      <c r="H34" s="110">
        <f>SUM(H35:H48)</f>
        <v>0</v>
      </c>
      <c r="L34" s="18">
        <f>_xlfn.IFNA(VLOOKUP(I34,科目余额表!B:M,11,0),K34)</f>
        <v>0</v>
      </c>
    </row>
    <row r="35" spans="1:12">
      <c r="A35" s="111" t="s">
        <v>868</v>
      </c>
      <c r="B35" s="112" t="s">
        <v>869</v>
      </c>
      <c r="C35" s="110"/>
      <c r="D35" s="110"/>
      <c r="E35" s="113"/>
      <c r="F35" s="1">
        <f>ROUND(SUMIF(上期ETY!D:D,B35,上期ETY!F:F),2)</f>
        <v>0</v>
      </c>
      <c r="G35" s="1">
        <f>ROUND(SUMIF(上期ETY!D:D,B35,上期ETY!G:G),2)</f>
        <v>0</v>
      </c>
      <c r="H35" s="114">
        <f t="shared" si="1"/>
        <v>0</v>
      </c>
      <c r="I35" s="18" t="s">
        <v>314</v>
      </c>
      <c r="K35" s="18" t="s">
        <v>810</v>
      </c>
      <c r="L35" s="18" t="str">
        <f>_xlfn.IFNA(VLOOKUP(I35,科目余额表!B:M,11,0),K35)</f>
        <v>借</v>
      </c>
    </row>
    <row r="36" spans="1:12">
      <c r="A36" s="111" t="s">
        <v>870</v>
      </c>
      <c r="B36" s="112" t="s">
        <v>871</v>
      </c>
      <c r="C36" s="110"/>
      <c r="D36" s="110"/>
      <c r="E36" s="113"/>
      <c r="F36" s="1">
        <f>ROUND(SUMIF(上期ETY!D:D,B36,上期ETY!F:F),2)</f>
        <v>0</v>
      </c>
      <c r="G36" s="1">
        <f>ROUND(SUMIF(上期ETY!D:D,B36,上期ETY!G:G),2)</f>
        <v>0</v>
      </c>
      <c r="H36" s="114">
        <f t="shared" si="1"/>
        <v>0</v>
      </c>
      <c r="I36" s="18" t="s">
        <v>872</v>
      </c>
      <c r="K36" s="18" t="s">
        <v>810</v>
      </c>
      <c r="L36" s="18" t="str">
        <f>_xlfn.IFNA(VLOOKUP(I36,科目余额表!B:M,11,0),K36)</f>
        <v>借</v>
      </c>
    </row>
    <row r="37" spans="1:12">
      <c r="A37" s="111" t="s">
        <v>873</v>
      </c>
      <c r="B37" s="112" t="s">
        <v>874</v>
      </c>
      <c r="C37" s="110"/>
      <c r="D37" s="110"/>
      <c r="E37" s="113"/>
      <c r="F37" s="1">
        <f>ROUND(SUMIF(上期ETY!D:D,B37,上期ETY!F:F),2)</f>
        <v>0</v>
      </c>
      <c r="G37" s="1">
        <f>ROUND(SUMIF(上期ETY!D:D,B37,上期ETY!G:G),2)</f>
        <v>0</v>
      </c>
      <c r="H37" s="114">
        <f t="shared" si="1"/>
        <v>0</v>
      </c>
      <c r="I37" s="18" t="s">
        <v>763</v>
      </c>
      <c r="K37" s="18" t="s">
        <v>810</v>
      </c>
      <c r="L37" s="18" t="str">
        <f>_xlfn.IFNA(VLOOKUP(I37,科目余额表!B:M,11,0),K37)</f>
        <v>借</v>
      </c>
    </row>
    <row r="38" spans="1:12">
      <c r="A38" s="111" t="s">
        <v>875</v>
      </c>
      <c r="B38" s="112" t="s">
        <v>876</v>
      </c>
      <c r="C38" s="110"/>
      <c r="D38" s="110"/>
      <c r="E38" s="113"/>
      <c r="F38" s="1">
        <f>ROUND(SUMIF(上期ETY!D:D,B38,上期ETY!F:F),2)</f>
        <v>0</v>
      </c>
      <c r="G38" s="1">
        <f>ROUND(SUMIF(上期ETY!D:D,B38,上期ETY!G:G),2)</f>
        <v>0</v>
      </c>
      <c r="H38" s="114">
        <f t="shared" si="1"/>
        <v>0</v>
      </c>
      <c r="I38" s="18" t="s">
        <v>325</v>
      </c>
      <c r="K38" s="18" t="s">
        <v>810</v>
      </c>
      <c r="L38" s="18" t="str">
        <f>_xlfn.IFNA(VLOOKUP(I38,科目余额表!B:M,11,0),K38)</f>
        <v>借</v>
      </c>
    </row>
    <row r="39" spans="1:12">
      <c r="A39" s="111" t="s">
        <v>877</v>
      </c>
      <c r="B39" s="112" t="s">
        <v>878</v>
      </c>
      <c r="C39" s="110"/>
      <c r="D39" s="110"/>
      <c r="E39" s="113"/>
      <c r="F39" s="1">
        <f>ROUND(SUMIF(上期ETY!D:D,B39,上期ETY!F:F),2)</f>
        <v>0</v>
      </c>
      <c r="G39" s="1">
        <f>ROUND(SUMIF(上期ETY!D:D,B39,上期ETY!G:G),2)</f>
        <v>0</v>
      </c>
      <c r="H39" s="114">
        <f t="shared" si="1"/>
        <v>0</v>
      </c>
      <c r="I39" s="18" t="s">
        <v>879</v>
      </c>
      <c r="K39" s="18" t="s">
        <v>810</v>
      </c>
      <c r="L39" s="18" t="str">
        <f>_xlfn.IFNA(VLOOKUP(I39,科目余额表!B:M,11,0),K39)</f>
        <v>借</v>
      </c>
    </row>
    <row r="40" spans="1:12">
      <c r="A40" s="111" t="s">
        <v>880</v>
      </c>
      <c r="B40" s="112" t="s">
        <v>881</v>
      </c>
      <c r="C40" s="110"/>
      <c r="D40" s="110"/>
      <c r="E40" s="113"/>
      <c r="F40" s="1">
        <f>ROUND(SUMIF(上期ETY!D:D,B40,上期ETY!F:F),2)</f>
        <v>0</v>
      </c>
      <c r="G40" s="1">
        <f>ROUND(SUMIF(上期ETY!D:D,B40,上期ETY!G:G),2)</f>
        <v>0</v>
      </c>
      <c r="H40" s="114">
        <f t="shared" si="1"/>
        <v>0</v>
      </c>
      <c r="I40" s="18" t="s">
        <v>323</v>
      </c>
      <c r="J40" s="18" t="s">
        <v>882</v>
      </c>
      <c r="K40" s="18" t="s">
        <v>810</v>
      </c>
      <c r="L40" s="18" t="str">
        <f>_xlfn.IFNA(VLOOKUP(I40,科目余额表!B:M,11,0),K40)</f>
        <v>借</v>
      </c>
    </row>
    <row r="41" spans="1:12">
      <c r="A41" s="111" t="s">
        <v>883</v>
      </c>
      <c r="B41" s="112" t="s">
        <v>884</v>
      </c>
      <c r="C41" s="110"/>
      <c r="D41" s="110"/>
      <c r="E41" s="113"/>
      <c r="F41" s="1">
        <f>ROUND(SUMIF(上期ETY!D:D,B41,上期ETY!F:F),2)</f>
        <v>0</v>
      </c>
      <c r="G41" s="1">
        <f>ROUND(SUMIF(上期ETY!D:D,B41,上期ETY!G:G),2)</f>
        <v>0</v>
      </c>
      <c r="H41" s="114">
        <f t="shared" si="1"/>
        <v>0</v>
      </c>
      <c r="I41" s="18" t="s">
        <v>326</v>
      </c>
      <c r="K41" s="18" t="s">
        <v>810</v>
      </c>
      <c r="L41" s="18" t="str">
        <f>_xlfn.IFNA(VLOOKUP(I41,科目余额表!B:M,11,0),K41)</f>
        <v>借</v>
      </c>
    </row>
    <row r="42" spans="1:12">
      <c r="A42" s="111" t="s">
        <v>885</v>
      </c>
      <c r="B42" s="112" t="s">
        <v>886</v>
      </c>
      <c r="C42" s="110"/>
      <c r="D42" s="110"/>
      <c r="E42" s="113"/>
      <c r="F42" s="1">
        <f>ROUND(SUMIF(上期ETY!D:D,B42,上期ETY!F:F),2)</f>
        <v>0</v>
      </c>
      <c r="G42" s="1">
        <f>ROUND(SUMIF(上期ETY!D:D,B42,上期ETY!G:G),2)</f>
        <v>0</v>
      </c>
      <c r="H42" s="114">
        <f t="shared" si="1"/>
        <v>0</v>
      </c>
      <c r="I42" s="18" t="s">
        <v>887</v>
      </c>
      <c r="K42" s="18" t="s">
        <v>810</v>
      </c>
      <c r="L42" s="18" t="str">
        <f>_xlfn.IFNA(VLOOKUP(I42,科目余额表!B:M,11,0),K42)</f>
        <v>借</v>
      </c>
    </row>
    <row r="43" spans="1:12">
      <c r="A43" s="111" t="s">
        <v>888</v>
      </c>
      <c r="B43" s="112" t="s">
        <v>889</v>
      </c>
      <c r="C43" s="110"/>
      <c r="D43" s="110"/>
      <c r="E43" s="113"/>
      <c r="F43" s="1">
        <f>ROUND(SUMIF(上期ETY!D:D,B43,上期ETY!F:F),2)</f>
        <v>0</v>
      </c>
      <c r="G43" s="1">
        <f>ROUND(SUMIF(上期ETY!D:D,B43,上期ETY!G:G),2)</f>
        <v>0</v>
      </c>
      <c r="H43" s="114">
        <f t="shared" si="1"/>
        <v>0</v>
      </c>
      <c r="I43" s="18" t="s">
        <v>328</v>
      </c>
      <c r="K43" s="18" t="s">
        <v>810</v>
      </c>
      <c r="L43" s="18" t="str">
        <f>_xlfn.IFNA(VLOOKUP(I43,科目余额表!B:M,11,0),K43)</f>
        <v>借</v>
      </c>
    </row>
    <row r="44" spans="1:12">
      <c r="A44" s="111" t="s">
        <v>890</v>
      </c>
      <c r="B44" s="112" t="s">
        <v>891</v>
      </c>
      <c r="C44" s="110"/>
      <c r="D44" s="110"/>
      <c r="E44" s="113"/>
      <c r="F44" s="1">
        <f>ROUND(SUMIF(上期ETY!D:D,B44,上期ETY!F:F),2)</f>
        <v>0</v>
      </c>
      <c r="G44" s="1">
        <f>ROUND(SUMIF(上期ETY!D:D,B44,上期ETY!G:G),2)</f>
        <v>0</v>
      </c>
      <c r="H44" s="114">
        <f t="shared" si="1"/>
        <v>0</v>
      </c>
      <c r="I44" s="18" t="s">
        <v>316</v>
      </c>
      <c r="K44" s="18" t="s">
        <v>810</v>
      </c>
      <c r="L44" s="18" t="str">
        <f>_xlfn.IFNA(VLOOKUP(I44,科目余额表!B:M,11,0),K44)</f>
        <v>借</v>
      </c>
    </row>
    <row r="45" spans="1:12">
      <c r="A45" s="111" t="s">
        <v>892</v>
      </c>
      <c r="B45" s="112" t="s">
        <v>893</v>
      </c>
      <c r="C45" s="110"/>
      <c r="D45" s="110"/>
      <c r="E45" s="113"/>
      <c r="F45" s="1">
        <f>ROUND(SUMIF(上期ETY!D:D,B45,上期ETY!F:F),2)</f>
        <v>0</v>
      </c>
      <c r="G45" s="1">
        <f>ROUND(SUMIF(上期ETY!D:D,B45,上期ETY!G:G),2)</f>
        <v>0</v>
      </c>
      <c r="H45" s="114">
        <f t="shared" si="1"/>
        <v>0</v>
      </c>
      <c r="I45" s="18" t="s">
        <v>330</v>
      </c>
      <c r="K45" s="18" t="s">
        <v>810</v>
      </c>
      <c r="L45" s="18" t="str">
        <f>_xlfn.IFNA(VLOOKUP(I45,科目余额表!B:M,11,0),K45)</f>
        <v>借</v>
      </c>
    </row>
    <row r="46" spans="1:12">
      <c r="A46" s="111" t="s">
        <v>894</v>
      </c>
      <c r="B46" s="112" t="s">
        <v>895</v>
      </c>
      <c r="C46" s="110"/>
      <c r="D46" s="110"/>
      <c r="E46" s="113"/>
      <c r="F46" s="1">
        <f>ROUND(SUMIF(上期ETY!D:D,B46,上期ETY!F:F),2)</f>
        <v>0</v>
      </c>
      <c r="G46" s="1">
        <f>ROUND(SUMIF(上期ETY!D:D,B46,上期ETY!G:G),2)</f>
        <v>0</v>
      </c>
      <c r="H46" s="114">
        <f t="shared" si="1"/>
        <v>0</v>
      </c>
      <c r="I46" s="18" t="s">
        <v>332</v>
      </c>
      <c r="K46" s="18" t="s">
        <v>810</v>
      </c>
      <c r="L46" s="18" t="str">
        <f>_xlfn.IFNA(VLOOKUP(I46,科目余额表!B:M,11,0),K46)</f>
        <v>借</v>
      </c>
    </row>
    <row r="47" spans="1:12">
      <c r="A47" s="111" t="s">
        <v>896</v>
      </c>
      <c r="B47" s="112" t="s">
        <v>897</v>
      </c>
      <c r="C47" s="110"/>
      <c r="D47" s="110"/>
      <c r="E47" s="113"/>
      <c r="F47" s="1">
        <f>ROUND(SUMIF(上期ETY!D:D,B47,上期ETY!F:F),2)</f>
        <v>0</v>
      </c>
      <c r="G47" s="1">
        <f>ROUND(SUMIF(上期ETY!D:D,B47,上期ETY!G:G),2)</f>
        <v>0</v>
      </c>
      <c r="H47" s="114">
        <f t="shared" si="1"/>
        <v>0</v>
      </c>
      <c r="I47" s="18" t="s">
        <v>898</v>
      </c>
      <c r="K47" s="18" t="s">
        <v>810</v>
      </c>
      <c r="L47" s="18" t="str">
        <f>_xlfn.IFNA(VLOOKUP(I47,科目余额表!B:M,11,0),K47)</f>
        <v>借</v>
      </c>
    </row>
    <row r="48" spans="1:12">
      <c r="A48" s="111" t="s">
        <v>899</v>
      </c>
      <c r="B48" s="112" t="s">
        <v>900</v>
      </c>
      <c r="C48" s="110"/>
      <c r="D48" s="110"/>
      <c r="E48" s="113"/>
      <c r="F48" s="1">
        <f>ROUND(SUMIF(上期ETY!D:D,B48,上期ETY!F:F),2)</f>
        <v>0</v>
      </c>
      <c r="G48" s="1">
        <f>ROUND(SUMIF(上期ETY!D:D,B48,上期ETY!G:G),2)</f>
        <v>0</v>
      </c>
      <c r="H48" s="114">
        <f t="shared" si="1"/>
        <v>0</v>
      </c>
      <c r="I48" s="18" t="s">
        <v>901</v>
      </c>
      <c r="K48" s="18" t="s">
        <v>810</v>
      </c>
      <c r="L48" s="18" t="str">
        <f>_xlfn.IFNA(VLOOKUP(I48,科目余额表!B:M,11,0),K48)</f>
        <v>借</v>
      </c>
    </row>
    <row r="49" spans="1:12">
      <c r="A49" s="111" t="s">
        <v>902</v>
      </c>
      <c r="B49" s="112" t="s">
        <v>903</v>
      </c>
      <c r="C49" s="110"/>
      <c r="D49" s="110"/>
      <c r="E49" s="113"/>
      <c r="F49" s="1">
        <f>ROUND(SUMIF(上期ETY!D:D,B49,上期ETY!F:F),2)</f>
        <v>0</v>
      </c>
      <c r="G49" s="1">
        <f>ROUND(SUMIF(上期ETY!D:D,B49,上期ETY!G:G),2)</f>
        <v>0</v>
      </c>
      <c r="H49" s="114">
        <f>ROUND(E49-F49+G49,2)</f>
        <v>0</v>
      </c>
      <c r="I49" s="18" t="s">
        <v>904</v>
      </c>
      <c r="K49" s="18" t="s">
        <v>832</v>
      </c>
      <c r="L49" s="18" t="str">
        <f>_xlfn.IFNA(VLOOKUP(I49,科目余额表!B:M,11,0),K49)</f>
        <v>贷</v>
      </c>
    </row>
    <row r="50" spans="1:12">
      <c r="A50" s="111" t="s">
        <v>905</v>
      </c>
      <c r="B50" s="112" t="s">
        <v>78</v>
      </c>
      <c r="C50" s="110"/>
      <c r="D50" s="110"/>
      <c r="E50" s="110">
        <f>E34-E49</f>
        <v>0</v>
      </c>
      <c r="F50" s="110">
        <f t="shared" ref="F50:G50" si="5">F34-F49</f>
        <v>0</v>
      </c>
      <c r="G50" s="110">
        <f t="shared" si="5"/>
        <v>0</v>
      </c>
      <c r="H50" s="110">
        <f>H34-H49</f>
        <v>0</v>
      </c>
      <c r="L50" s="18">
        <f>_xlfn.IFNA(VLOOKUP(I50,科目余额表!B:M,11,0),K50)</f>
        <v>0</v>
      </c>
    </row>
    <row r="51" spans="1:12">
      <c r="A51" s="111" t="s">
        <v>906</v>
      </c>
      <c r="B51" s="112" t="s">
        <v>907</v>
      </c>
      <c r="C51" s="110"/>
      <c r="D51" s="110"/>
      <c r="E51" s="113"/>
      <c r="F51" s="1">
        <f>ROUND(SUMIF(上期ETY!D:D,B51,上期ETY!F:F),2)</f>
        <v>0</v>
      </c>
      <c r="G51" s="1">
        <f>ROUND(SUMIF(上期ETY!D:D,B51,上期ETY!G:G),2)</f>
        <v>0</v>
      </c>
      <c r="H51" s="114">
        <f t="shared" si="1"/>
        <v>0</v>
      </c>
      <c r="I51" s="18" t="s">
        <v>77</v>
      </c>
      <c r="K51" s="18" t="s">
        <v>810</v>
      </c>
      <c r="L51" s="18" t="str">
        <f>_xlfn.IFNA(VLOOKUP(I51,科目余额表!B:M,11,0),K51)</f>
        <v>借</v>
      </c>
    </row>
    <row r="52" spans="1:12">
      <c r="A52" s="111" t="s">
        <v>908</v>
      </c>
      <c r="B52" s="112" t="s">
        <v>909</v>
      </c>
      <c r="C52" s="110"/>
      <c r="D52" s="110"/>
      <c r="E52" s="113"/>
      <c r="F52" s="1">
        <f>ROUND(SUMIF(上期ETY!D:D,B52,上期ETY!F:F),2)</f>
        <v>0</v>
      </c>
      <c r="G52" s="1">
        <f>ROUND(SUMIF(上期ETY!D:D,B52,上期ETY!G:G),2)</f>
        <v>0</v>
      </c>
      <c r="H52" s="114">
        <f>ROUND(E52-F52+G52,2)</f>
        <v>0</v>
      </c>
      <c r="I52" s="18" t="s">
        <v>910</v>
      </c>
      <c r="K52" s="18" t="s">
        <v>832</v>
      </c>
      <c r="L52" s="18" t="str">
        <f>_xlfn.IFNA(VLOOKUP(I52,科目余额表!B:M,11,0),K52)</f>
        <v>贷</v>
      </c>
    </row>
    <row r="53" spans="1:12">
      <c r="A53" s="111" t="s">
        <v>911</v>
      </c>
      <c r="B53" s="112"/>
      <c r="C53" s="110"/>
      <c r="D53" s="116" t="s">
        <v>823</v>
      </c>
      <c r="E53" s="110">
        <f>E51-E52</f>
        <v>0</v>
      </c>
      <c r="F53" s="110">
        <f t="shared" ref="F53:H53" si="6">F51-F52</f>
        <v>0</v>
      </c>
      <c r="G53" s="110">
        <f t="shared" si="6"/>
        <v>0</v>
      </c>
      <c r="H53" s="110">
        <f t="shared" si="6"/>
        <v>0</v>
      </c>
      <c r="L53" s="18">
        <f>_xlfn.IFNA(VLOOKUP(I53,科目余额表!B:M,11,0),K53)</f>
        <v>0</v>
      </c>
    </row>
    <row r="54" spans="1:12">
      <c r="A54" s="112" t="s">
        <v>912</v>
      </c>
      <c r="B54" s="112" t="s">
        <v>913</v>
      </c>
      <c r="C54" s="110"/>
      <c r="D54" s="110"/>
      <c r="E54" s="113"/>
      <c r="F54" s="1">
        <f>ROUND(SUMIF(上期ETY!D:D,B54,上期ETY!F:F),2)</f>
        <v>0</v>
      </c>
      <c r="G54" s="1">
        <f>ROUND(SUMIF(上期ETY!D:D,B54,上期ETY!G:G),2)</f>
        <v>0</v>
      </c>
      <c r="H54" s="114">
        <f t="shared" si="1"/>
        <v>0</v>
      </c>
      <c r="I54" s="18" t="s">
        <v>913</v>
      </c>
      <c r="K54" s="18" t="s">
        <v>810</v>
      </c>
      <c r="L54" s="18" t="str">
        <f>_xlfn.IFNA(VLOOKUP(I54,科目余额表!B:M,11,0),K54)</f>
        <v>借</v>
      </c>
    </row>
    <row r="55" spans="1:12">
      <c r="A55" s="111" t="s">
        <v>914</v>
      </c>
      <c r="B55" s="112" t="s">
        <v>915</v>
      </c>
      <c r="C55" s="110"/>
      <c r="D55" s="110"/>
      <c r="E55" s="113"/>
      <c r="F55" s="1">
        <f>ROUND(SUMIF(上期ETY!D:D,B55,上期ETY!F:F),2)</f>
        <v>0</v>
      </c>
      <c r="G55" s="1">
        <f>ROUND(SUMIF(上期ETY!D:D,B55,上期ETY!G:G),2)</f>
        <v>0</v>
      </c>
      <c r="H55" s="114">
        <f t="shared" si="1"/>
        <v>0</v>
      </c>
      <c r="I55" s="18" t="s">
        <v>915</v>
      </c>
      <c r="K55" s="18" t="s">
        <v>810</v>
      </c>
      <c r="L55" s="18" t="str">
        <f>_xlfn.IFNA(VLOOKUP(I55,科目余额表!B:M,11,0),K55)</f>
        <v>借</v>
      </c>
    </row>
    <row r="56" spans="1:12">
      <c r="A56" s="111" t="s">
        <v>916</v>
      </c>
      <c r="B56" s="112" t="s">
        <v>79</v>
      </c>
      <c r="C56" s="110"/>
      <c r="D56" s="110"/>
      <c r="E56" s="113"/>
      <c r="F56" s="1">
        <f>ROUND(SUMIF(上期ETY!D:D,B56,上期ETY!F:F),2)</f>
        <v>0</v>
      </c>
      <c r="G56" s="1">
        <f>ROUND(SUMIF(上期ETY!D:D,B56,上期ETY!G:G),2)</f>
        <v>0</v>
      </c>
      <c r="H56" s="114">
        <f t="shared" si="1"/>
        <v>0</v>
      </c>
      <c r="I56" s="18" t="s">
        <v>79</v>
      </c>
      <c r="K56" s="18" t="s">
        <v>810</v>
      </c>
      <c r="L56" s="18" t="str">
        <f>_xlfn.IFNA(VLOOKUP(I56,科目余额表!B:M,11,0),K56)</f>
        <v>借</v>
      </c>
    </row>
    <row r="57" spans="1:12">
      <c r="A57" s="109" t="s">
        <v>917</v>
      </c>
      <c r="B57" s="112"/>
      <c r="C57" s="117"/>
      <c r="D57" s="117"/>
      <c r="E57" s="118">
        <f>E3+E7+E8+E9+E10+E11+E14+E17+E18+E19+E20+E21+E22+E31+E32+E50+E53+E54+E55+E56+E25+E28+E33</f>
        <v>0</v>
      </c>
      <c r="F57" s="118">
        <f>F3+F7+F8+F9+F10+F11+F14+F17+F18+F19+F20+F21+F22+F31+F32+F50+F53+F54+F55+F56+F25+F28+F33</f>
        <v>0</v>
      </c>
      <c r="G57" s="118">
        <f>G3+G7+G8+G9+G10+G11+G14+G17+G18+G19+G20+G21+G22+G31+G32+G50+G53+G54+G55+G56+G25+G28+G33</f>
        <v>0</v>
      </c>
      <c r="H57" s="118">
        <f>H3+H7+H8+H9+H10+H11+H14+H17+H18+H19+H20+H21+H22+H31+H32+H50+H53+H54+H55+H56+H25+H28+H33</f>
        <v>0</v>
      </c>
      <c r="L57" s="18">
        <f>_xlfn.IFNA(VLOOKUP(I57,科目余额表!B:M,11,0),K57)</f>
        <v>0</v>
      </c>
    </row>
    <row r="58" spans="1:12">
      <c r="A58" s="109" t="s">
        <v>918</v>
      </c>
      <c r="B58" s="112"/>
      <c r="C58" s="110"/>
      <c r="D58" s="110"/>
      <c r="E58" s="110"/>
      <c r="L58" s="18">
        <f>_xlfn.IFNA(VLOOKUP(I58,科目余额表!B:M,11,0),K58)</f>
        <v>0</v>
      </c>
    </row>
    <row r="59" spans="1:12">
      <c r="A59" s="111" t="s">
        <v>919</v>
      </c>
      <c r="B59" s="112" t="s">
        <v>920</v>
      </c>
      <c r="C59" s="110"/>
      <c r="D59" s="110"/>
      <c r="E59" s="113"/>
      <c r="F59" s="1">
        <f>ROUND(SUMIF(上期ETY!D:D,B59,上期ETY!F:F),2)</f>
        <v>0</v>
      </c>
      <c r="G59" s="1">
        <f>ROUND(SUMIF(上期ETY!D:D,B59,上期ETY!G:G),2)</f>
        <v>0</v>
      </c>
      <c r="H59" s="114">
        <f t="shared" ref="H59:H72" si="7">ROUND(E59+F59-G59,2)</f>
        <v>0</v>
      </c>
      <c r="I59" s="18" t="s">
        <v>920</v>
      </c>
      <c r="K59" s="18" t="s">
        <v>810</v>
      </c>
      <c r="L59" s="18" t="str">
        <f>_xlfn.IFNA(VLOOKUP(I59,科目余额表!B:M,11,0),K59)</f>
        <v>借</v>
      </c>
    </row>
    <row r="60" spans="1:12">
      <c r="A60" s="111" t="s">
        <v>921</v>
      </c>
      <c r="B60" s="112" t="s">
        <v>922</v>
      </c>
      <c r="C60" s="110"/>
      <c r="D60" s="110"/>
      <c r="E60" s="113"/>
      <c r="F60" s="1"/>
      <c r="G60" s="1"/>
      <c r="H60" s="114">
        <f t="shared" si="7"/>
        <v>0</v>
      </c>
      <c r="I60" s="18" t="s">
        <v>12</v>
      </c>
      <c r="K60" s="18" t="s">
        <v>810</v>
      </c>
      <c r="L60" s="18" t="str">
        <f>_xlfn.IFNA(VLOOKUP(I60,科目余额表!B:M,11,0),K60)</f>
        <v>借</v>
      </c>
    </row>
    <row r="61" spans="1:12">
      <c r="A61" s="111" t="s">
        <v>923</v>
      </c>
      <c r="B61" s="112" t="s">
        <v>924</v>
      </c>
      <c r="C61" s="110"/>
      <c r="D61" s="110"/>
      <c r="E61" s="113"/>
      <c r="F61" s="1"/>
      <c r="G61" s="1"/>
      <c r="H61" s="114">
        <f>ROUND(E61-F61+G61,2)</f>
        <v>0</v>
      </c>
      <c r="I61" s="18" t="s">
        <v>924</v>
      </c>
      <c r="K61" s="18" t="s">
        <v>925</v>
      </c>
      <c r="L61" s="18" t="s">
        <v>925</v>
      </c>
    </row>
    <row r="62" spans="1:12">
      <c r="A62" s="111" t="s">
        <v>926</v>
      </c>
      <c r="B62" s="112"/>
      <c r="C62" s="110"/>
      <c r="D62" s="116" t="s">
        <v>823</v>
      </c>
      <c r="E62" s="110">
        <f>E60-E61</f>
        <v>0</v>
      </c>
      <c r="F62" s="1">
        <f>ROUND(SUMIF(上期ETY!D:D,B62,上期ETY!F:F),2)</f>
        <v>0</v>
      </c>
      <c r="G62" s="1">
        <f>ROUND(SUMIF(上期ETY!D:D,B62,上期ETY!G:G),2)</f>
        <v>0</v>
      </c>
      <c r="H62" s="114">
        <f>H60-H61</f>
        <v>0</v>
      </c>
    </row>
    <row r="63" spans="1:12">
      <c r="A63" s="112" t="s">
        <v>927</v>
      </c>
      <c r="B63" s="112" t="s">
        <v>14</v>
      </c>
      <c r="C63" s="116" t="s">
        <v>825</v>
      </c>
      <c r="D63" s="116"/>
      <c r="E63" s="113"/>
      <c r="F63" s="1">
        <f>ROUND(SUMIF(上期ETY!D:D,B63,上期ETY!F:F),2)</f>
        <v>0</v>
      </c>
      <c r="G63" s="1">
        <f>ROUND(SUMIF(上期ETY!D:D,B63,上期ETY!G:G),2)</f>
        <v>0</v>
      </c>
      <c r="H63" s="114">
        <f t="shared" si="7"/>
        <v>0</v>
      </c>
      <c r="I63" s="18" t="s">
        <v>14</v>
      </c>
      <c r="K63" s="18" t="s">
        <v>810</v>
      </c>
      <c r="L63" s="18" t="str">
        <f>_xlfn.IFNA(VLOOKUP(I63,科目余额表!B:M,11,0),K63)</f>
        <v>借</v>
      </c>
    </row>
    <row r="64" spans="1:12" ht="13.2" customHeight="1">
      <c r="A64" s="112" t="s">
        <v>928</v>
      </c>
      <c r="B64" s="112" t="s">
        <v>929</v>
      </c>
      <c r="C64" s="116"/>
      <c r="D64" s="116"/>
      <c r="E64" s="113"/>
      <c r="F64" s="1">
        <f>ROUND(SUMIF(上期ETY!D:D,B64,上期ETY!F:F),2)</f>
        <v>0</v>
      </c>
      <c r="G64" s="1">
        <f>ROUND(SUMIF(上期ETY!D:D,B64,上期ETY!G:G),2)</f>
        <v>0</v>
      </c>
      <c r="H64" s="114">
        <f t="shared" si="7"/>
        <v>0</v>
      </c>
    </row>
    <row r="65" spans="1:12">
      <c r="A65" s="112" t="s">
        <v>930</v>
      </c>
      <c r="B65" s="112" t="s">
        <v>931</v>
      </c>
      <c r="C65" s="116"/>
      <c r="D65" s="116"/>
      <c r="E65" s="113"/>
      <c r="F65" s="1">
        <f>ROUND(SUMIF(上期ETY!D:D,B65,上期ETY!F:F),2)</f>
        <v>0</v>
      </c>
      <c r="G65" s="1">
        <f>ROUND(SUMIF(上期ETY!D:D,B65,上期ETY!G:G),2)</f>
        <v>0</v>
      </c>
      <c r="H65" s="114">
        <f>ROUND(E65-F65+G65,2)</f>
        <v>0</v>
      </c>
    </row>
    <row r="66" spans="1:12">
      <c r="A66" s="112" t="s">
        <v>932</v>
      </c>
      <c r="B66" s="112"/>
      <c r="C66" s="110"/>
      <c r="D66" s="116" t="s">
        <v>823</v>
      </c>
      <c r="E66" s="110">
        <f>E64-E65</f>
        <v>0</v>
      </c>
      <c r="F66" s="1"/>
      <c r="G66" s="1"/>
      <c r="H66" s="114">
        <f>H64-H65</f>
        <v>0</v>
      </c>
      <c r="I66" s="18" t="s">
        <v>16</v>
      </c>
      <c r="K66" s="18" t="s">
        <v>810</v>
      </c>
      <c r="L66" s="18" t="str">
        <f>_xlfn.IFNA(VLOOKUP(I66,科目余额表!B:M,11,0),K66)</f>
        <v>借</v>
      </c>
    </row>
    <row r="67" spans="1:12">
      <c r="A67" s="112" t="s">
        <v>933</v>
      </c>
      <c r="B67" s="112" t="s">
        <v>11</v>
      </c>
      <c r="C67" s="116" t="s">
        <v>825</v>
      </c>
      <c r="D67" s="116"/>
      <c r="E67" s="113"/>
      <c r="F67" s="1">
        <f>ROUND(SUMIF(上期ETY!D:D,B67,上期ETY!F:F),2)</f>
        <v>0</v>
      </c>
      <c r="G67" s="1">
        <f>ROUND(SUMIF(上期ETY!D:D,B67,上期ETY!G:G),2)</f>
        <v>0</v>
      </c>
      <c r="H67" s="114">
        <f t="shared" si="7"/>
        <v>0</v>
      </c>
      <c r="I67" s="18" t="s">
        <v>11</v>
      </c>
      <c r="K67" s="18" t="s">
        <v>810</v>
      </c>
      <c r="L67" s="18" t="str">
        <f>_xlfn.IFNA(VLOOKUP(I67,科目余额表!B:M,11,0),K67)</f>
        <v>借</v>
      </c>
    </row>
    <row r="68" spans="1:12">
      <c r="A68" s="112" t="s">
        <v>934</v>
      </c>
      <c r="B68" s="112" t="s">
        <v>935</v>
      </c>
      <c r="C68" s="116"/>
      <c r="D68" s="116"/>
      <c r="E68" s="113"/>
      <c r="F68" s="1">
        <f>ROUND(SUMIF(上期ETY!D:D,B68,上期ETY!F:F),2)</f>
        <v>0</v>
      </c>
      <c r="G68" s="1">
        <f>ROUND(SUMIF(上期ETY!D:D,B68,上期ETY!G:G),2)</f>
        <v>0</v>
      </c>
      <c r="H68" s="114">
        <f t="shared" si="7"/>
        <v>0</v>
      </c>
      <c r="I68" s="18" t="s">
        <v>20</v>
      </c>
      <c r="K68" s="18" t="s">
        <v>810</v>
      </c>
      <c r="L68" s="18" t="str">
        <f>_xlfn.IFNA(VLOOKUP(I68,科目余额表!B:M,11,0),K68)</f>
        <v>借</v>
      </c>
    </row>
    <row r="69" spans="1:12">
      <c r="A69" s="112" t="s">
        <v>936</v>
      </c>
      <c r="B69" s="112" t="s">
        <v>937</v>
      </c>
      <c r="C69" s="116"/>
      <c r="D69" s="116"/>
      <c r="E69" s="113"/>
      <c r="F69" s="1">
        <f>ROUND(SUMIF(上期ETY!D:D,B69,上期ETY!F:F),2)</f>
        <v>0</v>
      </c>
      <c r="G69" s="1">
        <f>ROUND(SUMIF(上期ETY!D:D,B69,上期ETY!G:G),2)</f>
        <v>0</v>
      </c>
      <c r="H69" s="114">
        <f>ROUND(E69-F69+G69,2)</f>
        <v>0</v>
      </c>
      <c r="I69" s="18" t="s">
        <v>937</v>
      </c>
      <c r="K69" s="18" t="s">
        <v>925</v>
      </c>
      <c r="L69" s="18" t="s">
        <v>925</v>
      </c>
    </row>
    <row r="70" spans="1:12">
      <c r="A70" s="112" t="s">
        <v>938</v>
      </c>
      <c r="B70" s="112" t="s">
        <v>939</v>
      </c>
      <c r="C70" s="116"/>
      <c r="D70" s="116"/>
      <c r="E70" s="113"/>
      <c r="F70" s="1">
        <f>ROUND(SUMIF(上期ETY!D:D,B70,上期ETY!F:F),2)</f>
        <v>0</v>
      </c>
      <c r="G70" s="1">
        <f>ROUND(SUMIF(上期ETY!D:D,B70,上期ETY!G:G),2)</f>
        <v>0</v>
      </c>
      <c r="H70" s="114">
        <f>ROUND(E70-F70+G70,2)</f>
        <v>0</v>
      </c>
      <c r="I70" s="18" t="s">
        <v>939</v>
      </c>
      <c r="K70" s="18" t="s">
        <v>925</v>
      </c>
      <c r="L70" s="18" t="s">
        <v>925</v>
      </c>
    </row>
    <row r="71" spans="1:12">
      <c r="A71" s="111" t="s">
        <v>940</v>
      </c>
      <c r="B71" s="112"/>
      <c r="C71" s="110"/>
      <c r="D71" s="110"/>
      <c r="E71" s="110">
        <f>E68-E69-E70</f>
        <v>0</v>
      </c>
      <c r="F71" s="1"/>
      <c r="G71" s="1"/>
      <c r="H71" s="114">
        <f>H68-H69-H70</f>
        <v>0</v>
      </c>
    </row>
    <row r="72" spans="1:12">
      <c r="A72" s="111" t="s">
        <v>941</v>
      </c>
      <c r="B72" s="112" t="s">
        <v>942</v>
      </c>
      <c r="C72" s="110"/>
      <c r="D72" s="110"/>
      <c r="E72" s="113"/>
      <c r="F72" s="1">
        <f>ROUND(SUMIF(上期ETY!D:D,B72,上期ETY!F:F),2)</f>
        <v>0</v>
      </c>
      <c r="G72" s="1">
        <f>ROUND(SUMIF(上期ETY!D:D,B72,上期ETY!G:G),2)</f>
        <v>0</v>
      </c>
      <c r="H72" s="114">
        <f t="shared" si="7"/>
        <v>0</v>
      </c>
      <c r="I72" s="18" t="s">
        <v>743</v>
      </c>
      <c r="K72" s="18" t="s">
        <v>810</v>
      </c>
      <c r="L72" s="18" t="str">
        <f>_xlfn.IFNA(VLOOKUP(I72,科目余额表!B:M,11,0),K72)</f>
        <v>借</v>
      </c>
    </row>
    <row r="73" spans="1:12">
      <c r="A73" s="111" t="s">
        <v>943</v>
      </c>
      <c r="B73" s="112" t="s">
        <v>944</v>
      </c>
      <c r="C73" s="110"/>
      <c r="D73" s="110"/>
      <c r="E73" s="113"/>
      <c r="F73" s="1">
        <f>ROUND(SUMIF(上期ETY!D:D,B73,上期ETY!F:F),2)</f>
        <v>0</v>
      </c>
      <c r="G73" s="1">
        <f>ROUND(SUMIF(上期ETY!D:D,B73,上期ETY!G:G),2)</f>
        <v>0</v>
      </c>
      <c r="H73" s="114">
        <f>ROUND(E73-F73+G73,2)</f>
        <v>0</v>
      </c>
      <c r="I73" s="18" t="s">
        <v>744</v>
      </c>
      <c r="K73" s="18" t="s">
        <v>832</v>
      </c>
      <c r="L73" s="18" t="str">
        <f>_xlfn.IFNA(VLOOKUP(I73,科目余额表!B:M,11,0),K73)</f>
        <v>贷</v>
      </c>
    </row>
    <row r="74" spans="1:12">
      <c r="A74" s="111" t="s">
        <v>945</v>
      </c>
      <c r="B74" s="112"/>
      <c r="C74" s="110"/>
      <c r="D74" s="110"/>
      <c r="E74" s="110">
        <f>E72-E73</f>
        <v>0</v>
      </c>
      <c r="F74" s="110">
        <f t="shared" ref="F74:H74" si="8">F72-F73</f>
        <v>0</v>
      </c>
      <c r="G74" s="110">
        <f t="shared" si="8"/>
        <v>0</v>
      </c>
      <c r="H74" s="110">
        <f t="shared" si="8"/>
        <v>0</v>
      </c>
      <c r="L74" s="18">
        <f>_xlfn.IFNA(VLOOKUP(I74,科目余额表!B:M,11,0),K74)</f>
        <v>0</v>
      </c>
    </row>
    <row r="75" spans="1:12">
      <c r="A75" s="111" t="s">
        <v>946</v>
      </c>
      <c r="B75" s="112" t="s">
        <v>19</v>
      </c>
      <c r="C75" s="110"/>
      <c r="D75" s="116" t="s">
        <v>823</v>
      </c>
      <c r="E75" s="113"/>
      <c r="F75" s="1">
        <f>ROUND(SUMIF(上期ETY!D:D,B75,上期ETY!F:F),2)</f>
        <v>0</v>
      </c>
      <c r="G75" s="1">
        <f>ROUND(SUMIF(上期ETY!D:D,B75,上期ETY!G:G),2)</f>
        <v>0</v>
      </c>
      <c r="H75" s="114">
        <f t="shared" ref="H75:H77" si="9">ROUND(E75+F75-G75,2)</f>
        <v>0</v>
      </c>
      <c r="I75" s="18" t="s">
        <v>19</v>
      </c>
      <c r="K75" s="18" t="s">
        <v>810</v>
      </c>
      <c r="L75" s="18" t="str">
        <f>_xlfn.IFNA(VLOOKUP(I75,科目余额表!B:M,11,0),K75)</f>
        <v>借</v>
      </c>
    </row>
    <row r="76" spans="1:12">
      <c r="A76" s="111" t="s">
        <v>947</v>
      </c>
      <c r="B76" s="112" t="s">
        <v>44</v>
      </c>
      <c r="C76" s="110"/>
      <c r="D76" s="116" t="s">
        <v>823</v>
      </c>
      <c r="E76" s="113"/>
      <c r="F76" s="1">
        <f>ROUND(SUMIF(上期ETY!D:D,B76,上期ETY!F:F),2)</f>
        <v>0</v>
      </c>
      <c r="G76" s="1">
        <f>ROUND(SUMIF(上期ETY!D:D,B76,上期ETY!G:G),2)</f>
        <v>0</v>
      </c>
      <c r="H76" s="114">
        <f t="shared" si="9"/>
        <v>0</v>
      </c>
      <c r="I76" s="18" t="s">
        <v>44</v>
      </c>
      <c r="K76" s="18" t="s">
        <v>810</v>
      </c>
      <c r="L76" s="18" t="str">
        <f>_xlfn.IFNA(VLOOKUP(I76,科目余额表!B:M,11,0),K76)</f>
        <v>借</v>
      </c>
    </row>
    <row r="77" spans="1:12">
      <c r="A77" s="111" t="s">
        <v>948</v>
      </c>
      <c r="B77" s="112" t="s">
        <v>949</v>
      </c>
      <c r="C77" s="110"/>
      <c r="D77" s="116"/>
      <c r="E77" s="113"/>
      <c r="F77" s="1">
        <f>ROUND(SUMIF(上期ETY!D:D,B77,上期ETY!F:F),2)</f>
        <v>0</v>
      </c>
      <c r="G77" s="1">
        <f>ROUND(SUMIF(上期ETY!D:D,B77,上期ETY!G:G),2)</f>
        <v>0</v>
      </c>
      <c r="H77" s="114">
        <f t="shared" si="9"/>
        <v>0</v>
      </c>
      <c r="I77" s="18" t="s">
        <v>745</v>
      </c>
      <c r="K77" s="18" t="s">
        <v>810</v>
      </c>
      <c r="L77" s="18" t="str">
        <f>_xlfn.IFNA(VLOOKUP(I77,科目余额表!B:M,11,0),K77)</f>
        <v>借</v>
      </c>
    </row>
    <row r="78" spans="1:12">
      <c r="A78" s="111" t="s">
        <v>950</v>
      </c>
      <c r="B78" s="112" t="s">
        <v>951</v>
      </c>
      <c r="C78" s="110"/>
      <c r="D78" s="116"/>
      <c r="E78" s="113"/>
      <c r="F78" s="1">
        <f>ROUND(SUMIF(上期ETY!D:D,B78,上期ETY!F:F),2)</f>
        <v>0</v>
      </c>
      <c r="G78" s="1">
        <f>ROUND(SUMIF(上期ETY!D:D,B78,上期ETY!G:G),2)</f>
        <v>0</v>
      </c>
      <c r="H78" s="114">
        <f>ROUND(E78-F78+G78,2)</f>
        <v>0</v>
      </c>
      <c r="I78" s="18" t="s">
        <v>952</v>
      </c>
      <c r="K78" s="18" t="s">
        <v>832</v>
      </c>
      <c r="L78" s="18" t="str">
        <f>_xlfn.IFNA(VLOOKUP(I78,科目余额表!B:M,11,0),K78)</f>
        <v>贷</v>
      </c>
    </row>
    <row r="79" spans="1:12">
      <c r="A79" s="111" t="s">
        <v>953</v>
      </c>
      <c r="B79" s="112" t="s">
        <v>954</v>
      </c>
      <c r="C79" s="110"/>
      <c r="D79" s="116"/>
      <c r="E79" s="113"/>
      <c r="F79" s="1">
        <f>ROUND(SUMIF(上期ETY!D:D,B79,上期ETY!F:F),2)</f>
        <v>0</v>
      </c>
      <c r="G79" s="1">
        <f>ROUND(SUMIF(上期ETY!D:D,B79,上期ETY!G:G),2)</f>
        <v>0</v>
      </c>
      <c r="H79" s="114">
        <f>ROUND(E79-F79+G79,2)</f>
        <v>0</v>
      </c>
      <c r="I79" s="18" t="s">
        <v>955</v>
      </c>
      <c r="K79" s="18" t="s">
        <v>832</v>
      </c>
      <c r="L79" s="18" t="str">
        <f>_xlfn.IFNA(VLOOKUP(I79,科目余额表!B:M,11,0),K79)</f>
        <v>贷</v>
      </c>
    </row>
    <row r="80" spans="1:12">
      <c r="A80" s="111" t="s">
        <v>956</v>
      </c>
      <c r="B80" s="112"/>
      <c r="C80" s="110"/>
      <c r="D80" s="110"/>
      <c r="E80" s="110">
        <f>E77-E78-E79</f>
        <v>0</v>
      </c>
      <c r="F80" s="110">
        <f t="shared" ref="F80:G80" si="10">F77-F78-F79</f>
        <v>0</v>
      </c>
      <c r="G80" s="110">
        <f t="shared" si="10"/>
        <v>0</v>
      </c>
      <c r="H80" s="110">
        <f>H77-H78-H79</f>
        <v>0</v>
      </c>
      <c r="L80" s="18">
        <f>_xlfn.IFNA(VLOOKUP(I80,科目余额表!B:M,11,0),K80)</f>
        <v>0</v>
      </c>
    </row>
    <row r="81" spans="1:12">
      <c r="A81" s="111" t="s">
        <v>957</v>
      </c>
      <c r="B81" s="112" t="s">
        <v>958</v>
      </c>
      <c r="C81" s="110"/>
      <c r="D81" s="110"/>
      <c r="E81" s="113"/>
      <c r="F81" s="1">
        <f>ROUND(SUMIF(上期ETY!D:D,B81,上期ETY!F:F),2)</f>
        <v>0</v>
      </c>
      <c r="G81" s="1">
        <f>ROUND(SUMIF(上期ETY!D:D,B81,上期ETY!G:G),2)</f>
        <v>0</v>
      </c>
      <c r="H81" s="114">
        <f t="shared" ref="H81" si="11">ROUND(E81+F81-G81,2)</f>
        <v>0</v>
      </c>
      <c r="I81" s="18" t="s">
        <v>89</v>
      </c>
      <c r="K81" s="18" t="s">
        <v>810</v>
      </c>
      <c r="L81" s="18" t="str">
        <f>_xlfn.IFNA(VLOOKUP(I81,科目余额表!B:M,11,0),K81)</f>
        <v>借</v>
      </c>
    </row>
    <row r="82" spans="1:12">
      <c r="A82" s="111" t="s">
        <v>959</v>
      </c>
      <c r="B82" s="112" t="s">
        <v>960</v>
      </c>
      <c r="C82" s="110"/>
      <c r="D82" s="110"/>
      <c r="E82" s="113"/>
      <c r="F82" s="1">
        <f>ROUND(SUMIF(上期ETY!D:D,B82,上期ETY!F:F),2)</f>
        <v>0</v>
      </c>
      <c r="G82" s="1">
        <f>ROUND(SUMIF(上期ETY!D:D,B82,上期ETY!G:G),2)</f>
        <v>0</v>
      </c>
      <c r="H82" s="114">
        <f>ROUND(E82-F82+G82,2)</f>
        <v>0</v>
      </c>
      <c r="I82" s="18" t="s">
        <v>437</v>
      </c>
      <c r="K82" s="18" t="s">
        <v>832</v>
      </c>
      <c r="L82" s="18" t="str">
        <f>_xlfn.IFNA(VLOOKUP(I82,科目余额表!B:M,11,0),K82)</f>
        <v>贷</v>
      </c>
    </row>
    <row r="83" spans="1:12">
      <c r="A83" s="111" t="s">
        <v>961</v>
      </c>
      <c r="B83" s="112" t="s">
        <v>962</v>
      </c>
      <c r="C83" s="110"/>
      <c r="D83" s="110"/>
      <c r="E83" s="113"/>
      <c r="F83" s="1">
        <f>ROUND(SUMIF(上期ETY!D:D,B83,上期ETY!F:F),2)</f>
        <v>0</v>
      </c>
      <c r="G83" s="1">
        <f>ROUND(SUMIF(上期ETY!D:D,B83,上期ETY!G:G),2)</f>
        <v>0</v>
      </c>
      <c r="H83" s="114">
        <f>ROUND(E83-F83+G83,2)</f>
        <v>0</v>
      </c>
      <c r="I83" s="18" t="s">
        <v>747</v>
      </c>
      <c r="K83" s="18" t="s">
        <v>832</v>
      </c>
      <c r="L83" s="18" t="str">
        <f>_xlfn.IFNA(VLOOKUP(I83,科目余额表!B:M,11,0),K83)</f>
        <v>贷</v>
      </c>
    </row>
    <row r="84" spans="1:12">
      <c r="A84" s="111" t="s">
        <v>963</v>
      </c>
      <c r="B84" s="112"/>
      <c r="C84" s="110"/>
      <c r="D84" s="110"/>
      <c r="E84" s="110">
        <f>E81-E82-E83</f>
        <v>0</v>
      </c>
      <c r="F84" s="110">
        <f t="shared" ref="F84:G84" si="12">F81-F82-F83</f>
        <v>0</v>
      </c>
      <c r="G84" s="110">
        <f t="shared" si="12"/>
        <v>0</v>
      </c>
      <c r="H84" s="110">
        <f>H81-H82-H83</f>
        <v>0</v>
      </c>
      <c r="L84" s="18">
        <f>_xlfn.IFNA(VLOOKUP(I84,科目余额表!B:M,11,0),K84)</f>
        <v>0</v>
      </c>
    </row>
    <row r="85" spans="1:12">
      <c r="A85" s="111" t="s">
        <v>964</v>
      </c>
      <c r="B85" s="112" t="s">
        <v>965</v>
      </c>
      <c r="C85" s="110"/>
      <c r="D85" s="110"/>
      <c r="E85" s="113"/>
      <c r="F85" s="1">
        <f>ROUND(SUMIF(上期ETY!D:D,B85,上期ETY!F:F),2)</f>
        <v>0</v>
      </c>
      <c r="G85" s="1">
        <f>ROUND(SUMIF(上期ETY!D:D,B85,上期ETY!G:G),2)</f>
        <v>0</v>
      </c>
      <c r="H85" s="114">
        <f t="shared" ref="H85:H92" si="13">ROUND(E85+F85-G85,2)</f>
        <v>0</v>
      </c>
      <c r="I85" s="18" t="s">
        <v>433</v>
      </c>
      <c r="K85" s="18" t="s">
        <v>810</v>
      </c>
      <c r="L85" s="18" t="str">
        <f>_xlfn.IFNA(VLOOKUP(I85,科目余额表!B:M,11,0),K85)</f>
        <v>借</v>
      </c>
    </row>
    <row r="86" spans="1:12">
      <c r="A86" s="18" t="s">
        <v>4597</v>
      </c>
      <c r="B86" s="112" t="s">
        <v>4800</v>
      </c>
      <c r="C86" s="110"/>
      <c r="D86" s="110"/>
      <c r="E86" s="113"/>
      <c r="F86" s="1">
        <f>ROUND(SUMIF(上期ETY!D:D,B86,上期ETY!F:F),2)</f>
        <v>0</v>
      </c>
      <c r="G86" s="1">
        <f>ROUND(SUMIF(上期ETY!D:D,B86,上期ETY!G:G),2)</f>
        <v>0</v>
      </c>
      <c r="H86" s="114">
        <f t="shared" si="13"/>
        <v>0</v>
      </c>
      <c r="I86" s="1" t="s">
        <v>423</v>
      </c>
    </row>
    <row r="87" spans="1:12">
      <c r="A87" s="18" t="s">
        <v>4598</v>
      </c>
      <c r="B87" s="112" t="s">
        <v>748</v>
      </c>
      <c r="C87" s="110"/>
      <c r="D87" s="110"/>
      <c r="E87" s="113"/>
      <c r="F87" s="1">
        <f>ROUND(SUMIF(上期ETY!D:D,B87,上期ETY!F:F),2)</f>
        <v>0</v>
      </c>
      <c r="G87" s="1">
        <f>ROUND(SUMIF(上期ETY!D:D,B87,上期ETY!G:G),2)</f>
        <v>0</v>
      </c>
      <c r="H87" s="114">
        <f>ROUND(E87-F87+G87,2)</f>
        <v>0</v>
      </c>
      <c r="I87" s="1" t="s">
        <v>748</v>
      </c>
    </row>
    <row r="88" spans="1:12">
      <c r="A88" s="18" t="s">
        <v>4599</v>
      </c>
      <c r="B88" s="112"/>
      <c r="C88" s="110"/>
      <c r="D88" s="110"/>
      <c r="E88" s="113"/>
      <c r="F88" s="1">
        <f>ROUND(SUMIF(上期ETY!D:D,B88,上期ETY!F:F),2)</f>
        <v>0</v>
      </c>
      <c r="G88" s="1">
        <f>ROUND(SUMIF(上期ETY!D:D,B88,上期ETY!G:G),2)</f>
        <v>0</v>
      </c>
      <c r="H88" s="114">
        <f>H86-H87</f>
        <v>0</v>
      </c>
      <c r="K88" s="18" t="s">
        <v>810</v>
      </c>
      <c r="L88" s="18" t="str">
        <f>_xlfn.IFNA(VLOOKUP(I88,科目余额表!B:M,11,0),K88)</f>
        <v>借</v>
      </c>
    </row>
    <row r="89" spans="1:12">
      <c r="A89" s="111" t="s">
        <v>967</v>
      </c>
      <c r="B89" s="112" t="s">
        <v>968</v>
      </c>
      <c r="C89" s="110"/>
      <c r="D89" s="110"/>
      <c r="E89" s="113"/>
      <c r="F89" s="1">
        <f>ROUND(SUMIF(上期ETY!D:D,B89,上期ETY!F:F),2)</f>
        <v>0</v>
      </c>
      <c r="G89" s="1">
        <f>ROUND(SUMIF(上期ETY!D:D,B89,上期ETY!G:G),2)</f>
        <v>0</v>
      </c>
      <c r="H89" s="114">
        <f t="shared" si="13"/>
        <v>0</v>
      </c>
      <c r="I89" s="18" t="s">
        <v>444</v>
      </c>
      <c r="K89" s="18" t="s">
        <v>810</v>
      </c>
      <c r="L89" s="18" t="str">
        <f>_xlfn.IFNA(VLOOKUP(I89,科目余额表!B:M,11,0),K89)</f>
        <v>借</v>
      </c>
    </row>
    <row r="90" spans="1:12">
      <c r="A90" s="111" t="s">
        <v>969</v>
      </c>
      <c r="B90" s="112" t="s">
        <v>970</v>
      </c>
      <c r="C90" s="110"/>
      <c r="D90" s="110"/>
      <c r="E90" s="113"/>
      <c r="F90" s="1">
        <f>ROUND(SUMIF(上期ETY!D:D,B90,上期ETY!F:F),2)</f>
        <v>0</v>
      </c>
      <c r="G90" s="1">
        <f>ROUND(SUMIF(上期ETY!D:D,B90,上期ETY!G:G),2)</f>
        <v>0</v>
      </c>
      <c r="H90" s="114">
        <f t="shared" si="13"/>
        <v>0</v>
      </c>
      <c r="I90" s="18" t="s">
        <v>970</v>
      </c>
      <c r="K90" s="18" t="s">
        <v>810</v>
      </c>
      <c r="L90" s="18" t="str">
        <f>_xlfn.IFNA(VLOOKUP(I90,科目余额表!B:M,11,0),K90)</f>
        <v>借</v>
      </c>
    </row>
    <row r="91" spans="1:12">
      <c r="A91" s="111" t="s">
        <v>971</v>
      </c>
      <c r="B91" s="112" t="s">
        <v>972</v>
      </c>
      <c r="C91" s="110"/>
      <c r="D91" s="110"/>
      <c r="E91" s="113"/>
      <c r="F91" s="1">
        <f>ROUND(SUMIF(上期ETY!D:D,B91,上期ETY!F:F),2)</f>
        <v>0</v>
      </c>
      <c r="G91" s="1">
        <f>ROUND(SUMIF(上期ETY!D:D,B91,上期ETY!G:G),2)</f>
        <v>0</v>
      </c>
      <c r="H91" s="114">
        <f t="shared" si="13"/>
        <v>0</v>
      </c>
      <c r="I91" s="18" t="s">
        <v>972</v>
      </c>
      <c r="K91" s="18" t="s">
        <v>810</v>
      </c>
      <c r="L91" s="18" t="str">
        <f>_xlfn.IFNA(VLOOKUP(I91,科目余额表!B:M,11,0),K91)</f>
        <v>借</v>
      </c>
    </row>
    <row r="92" spans="1:12">
      <c r="A92" s="111" t="s">
        <v>973</v>
      </c>
      <c r="B92" s="112" t="s">
        <v>974</v>
      </c>
      <c r="C92" s="110"/>
      <c r="D92" s="110"/>
      <c r="E92" s="113"/>
      <c r="F92" s="1">
        <f>ROUND(SUMIF(上期ETY!D:D,B92,上期ETY!F:F),2)</f>
        <v>0</v>
      </c>
      <c r="G92" s="1">
        <f>ROUND(SUMIF(上期ETY!D:D,B92,上期ETY!G:G),2)</f>
        <v>0</v>
      </c>
      <c r="H92" s="114">
        <f t="shared" si="13"/>
        <v>0</v>
      </c>
      <c r="I92" s="18" t="s">
        <v>91</v>
      </c>
      <c r="K92" s="18" t="s">
        <v>810</v>
      </c>
      <c r="L92" s="18" t="str">
        <f>_xlfn.IFNA(VLOOKUP(I92,科目余额表!B:M,11,0),K92)</f>
        <v>借</v>
      </c>
    </row>
    <row r="93" spans="1:12">
      <c r="A93" s="111" t="s">
        <v>975</v>
      </c>
      <c r="B93" s="112" t="s">
        <v>976</v>
      </c>
      <c r="C93" s="110"/>
      <c r="D93" s="110"/>
      <c r="E93" s="113"/>
      <c r="F93" s="1">
        <f>ROUND(SUMIF(上期ETY!D:D,B93,上期ETY!F:F),2)</f>
        <v>0</v>
      </c>
      <c r="G93" s="1">
        <f>ROUND(SUMIF(上期ETY!D:D,B93,上期ETY!G:G),2)</f>
        <v>0</v>
      </c>
      <c r="H93" s="114">
        <f>ROUND(E93-F93+G93,2)</f>
        <v>0</v>
      </c>
      <c r="I93" s="18" t="s">
        <v>977</v>
      </c>
      <c r="K93" s="18" t="s">
        <v>832</v>
      </c>
      <c r="L93" s="18" t="str">
        <f>_xlfn.IFNA(VLOOKUP(I93,科目余额表!B:M,11,0),K93)</f>
        <v>贷</v>
      </c>
    </row>
    <row r="94" spans="1:12">
      <c r="A94" s="111" t="s">
        <v>978</v>
      </c>
      <c r="B94" s="112" t="s">
        <v>979</v>
      </c>
      <c r="C94" s="110"/>
      <c r="D94" s="110"/>
      <c r="E94" s="113"/>
      <c r="F94" s="1">
        <f>ROUND(SUMIF(上期ETY!D:D,B94,上期ETY!F:F),2)</f>
        <v>0</v>
      </c>
      <c r="G94" s="1">
        <f>ROUND(SUMIF(上期ETY!D:D,B94,上期ETY!G:G),2)</f>
        <v>0</v>
      </c>
      <c r="H94" s="114">
        <f>ROUND(E94-F94+G94,2)</f>
        <v>0</v>
      </c>
      <c r="I94" s="18" t="s">
        <v>980</v>
      </c>
      <c r="K94" s="18" t="s">
        <v>832</v>
      </c>
      <c r="L94" s="18" t="str">
        <f>_xlfn.IFNA(VLOOKUP(I94,科目余额表!B:M,11,0),K94)</f>
        <v>贷</v>
      </c>
    </row>
    <row r="95" spans="1:12">
      <c r="A95" s="111" t="s">
        <v>981</v>
      </c>
      <c r="B95" s="112"/>
      <c r="C95" s="110"/>
      <c r="D95" s="116" t="s">
        <v>823</v>
      </c>
      <c r="E95" s="110">
        <f>E92-E93-E94</f>
        <v>0</v>
      </c>
      <c r="F95" s="110">
        <f t="shared" ref="F95:H95" si="14">F92-F93-F94</f>
        <v>0</v>
      </c>
      <c r="G95" s="110">
        <f t="shared" si="14"/>
        <v>0</v>
      </c>
      <c r="H95" s="110">
        <f t="shared" si="14"/>
        <v>0</v>
      </c>
      <c r="L95" s="18">
        <f>_xlfn.IFNA(VLOOKUP(I95,科目余额表!B:M,11,0),K95)</f>
        <v>0</v>
      </c>
    </row>
    <row r="96" spans="1:12">
      <c r="A96" s="111" t="s">
        <v>982</v>
      </c>
      <c r="B96" s="112" t="s">
        <v>983</v>
      </c>
      <c r="C96" s="110"/>
      <c r="D96" s="116"/>
      <c r="E96" s="113"/>
      <c r="F96" s="1">
        <f>ROUND(SUMIF(上期ETY!D:D,B96,上期ETY!F:F),2)</f>
        <v>0</v>
      </c>
      <c r="G96" s="1">
        <f>ROUND(SUMIF(上期ETY!D:D,B96,上期ETY!G:G),2)</f>
        <v>0</v>
      </c>
      <c r="H96" s="114">
        <f t="shared" ref="H96" si="15">ROUND(E96+F96-G96,2)</f>
        <v>0</v>
      </c>
      <c r="I96" s="18" t="s">
        <v>90</v>
      </c>
      <c r="K96" s="18" t="s">
        <v>810</v>
      </c>
      <c r="L96" s="18" t="str">
        <f>_xlfn.IFNA(VLOOKUP(I96,科目余额表!B:M,11,0),K96)</f>
        <v>借</v>
      </c>
    </row>
    <row r="97" spans="1:12">
      <c r="A97" s="111" t="s">
        <v>984</v>
      </c>
      <c r="B97" s="112" t="s">
        <v>985</v>
      </c>
      <c r="C97" s="110"/>
      <c r="D97" s="116"/>
      <c r="E97" s="113"/>
      <c r="F97" s="1">
        <f>ROUND(SUMIF(上期ETY!D:D,B97,上期ETY!F:F),2)</f>
        <v>0</v>
      </c>
      <c r="G97" s="1">
        <f>ROUND(SUMIF(上期ETY!D:D,B97,上期ETY!G:G),2)</f>
        <v>0</v>
      </c>
      <c r="H97" s="114">
        <f>ROUND(E97-F97+G97,2)</f>
        <v>0</v>
      </c>
      <c r="I97" s="18" t="s">
        <v>749</v>
      </c>
      <c r="K97" s="18" t="s">
        <v>832</v>
      </c>
      <c r="L97" s="18" t="str">
        <f>_xlfn.IFNA(VLOOKUP(I97,科目余额表!B:M,11,0),K97)</f>
        <v>贷</v>
      </c>
    </row>
    <row r="98" spans="1:12">
      <c r="A98" s="111" t="s">
        <v>986</v>
      </c>
      <c r="B98" s="112" t="s">
        <v>987</v>
      </c>
      <c r="C98" s="110"/>
      <c r="D98" s="116"/>
      <c r="E98" s="113"/>
      <c r="F98" s="1">
        <f>ROUND(SUMIF(上期ETY!D:D,B98,上期ETY!F:F),2)</f>
        <v>0</v>
      </c>
      <c r="G98" s="1">
        <f>ROUND(SUMIF(上期ETY!D:D,B98,上期ETY!G:G),2)</f>
        <v>0</v>
      </c>
      <c r="H98" s="114">
        <f>ROUND(E98-F98+G98,2)</f>
        <v>0</v>
      </c>
      <c r="I98" s="18" t="s">
        <v>988</v>
      </c>
      <c r="K98" s="18" t="s">
        <v>832</v>
      </c>
      <c r="L98" s="18" t="str">
        <f>_xlfn.IFNA(VLOOKUP(I98,科目余额表!B:M,11,0),K98)</f>
        <v>贷</v>
      </c>
    </row>
    <row r="99" spans="1:12">
      <c r="A99" s="111" t="s">
        <v>989</v>
      </c>
      <c r="B99" s="112"/>
      <c r="C99" s="110"/>
      <c r="D99" s="110"/>
      <c r="E99" s="110">
        <f>E96-E97-E98</f>
        <v>0</v>
      </c>
      <c r="F99" s="110">
        <f t="shared" ref="F99:H99" si="16">F96-F97-F98</f>
        <v>0</v>
      </c>
      <c r="G99" s="110">
        <f t="shared" si="16"/>
        <v>0</v>
      </c>
      <c r="H99" s="110">
        <f t="shared" si="16"/>
        <v>0</v>
      </c>
      <c r="L99" s="18">
        <f>_xlfn.IFNA(VLOOKUP(I99,科目余额表!B:M,11,0),K99)</f>
        <v>0</v>
      </c>
    </row>
    <row r="100" spans="1:12">
      <c r="A100" s="111" t="s">
        <v>990</v>
      </c>
      <c r="B100" s="112" t="s">
        <v>991</v>
      </c>
      <c r="C100" s="110"/>
      <c r="D100" s="110"/>
      <c r="E100" s="113"/>
      <c r="F100" s="1">
        <f>ROUND(SUMIF(上期ETY!D:D,B100,上期ETY!F:F),2)</f>
        <v>0</v>
      </c>
      <c r="G100" s="1">
        <f>ROUND(SUMIF(上期ETY!D:D,B100,上期ETY!G:G),2)</f>
        <v>0</v>
      </c>
      <c r="H100" s="114">
        <f t="shared" ref="H100:H101" si="17">ROUND(E100+F100-G100,2)</f>
        <v>0</v>
      </c>
      <c r="I100" s="18" t="s">
        <v>991</v>
      </c>
      <c r="K100" s="18" t="s">
        <v>810</v>
      </c>
      <c r="L100" s="18" t="str">
        <f>_xlfn.IFNA(VLOOKUP(I100,科目余额表!B:M,11,0),K100)</f>
        <v>借</v>
      </c>
    </row>
    <row r="101" spans="1:12">
      <c r="A101" s="111" t="s">
        <v>992</v>
      </c>
      <c r="B101" s="112" t="s">
        <v>993</v>
      </c>
      <c r="C101" s="110"/>
      <c r="D101" s="110"/>
      <c r="E101" s="113"/>
      <c r="F101" s="1">
        <f>ROUND(SUMIF(上期ETY!D:D,B101,上期ETY!F:F),2)</f>
        <v>0</v>
      </c>
      <c r="G101" s="1">
        <f>ROUND(SUMIF(上期ETY!D:D,B101,上期ETY!G:G),2)</f>
        <v>0</v>
      </c>
      <c r="H101" s="114">
        <f t="shared" si="17"/>
        <v>0</v>
      </c>
      <c r="I101" s="18" t="s">
        <v>994</v>
      </c>
      <c r="K101" s="18" t="s">
        <v>810</v>
      </c>
      <c r="L101" s="18" t="str">
        <f>_xlfn.IFNA(VLOOKUP(I101,科目余额表!B:M,11,0),K101)</f>
        <v>借</v>
      </c>
    </row>
    <row r="102" spans="1:12">
      <c r="A102" s="111" t="s">
        <v>995</v>
      </c>
      <c r="B102" s="112" t="s">
        <v>996</v>
      </c>
      <c r="C102" s="110"/>
      <c r="D102" s="110"/>
      <c r="E102" s="113"/>
      <c r="F102" s="1">
        <f>ROUND(SUMIF(上期ETY!D:D,B102,上期ETY!F:F),2)</f>
        <v>0</v>
      </c>
      <c r="G102" s="1">
        <f>ROUND(SUMIF(上期ETY!D:D,B102,上期ETY!G:G),2)</f>
        <v>0</v>
      </c>
      <c r="H102" s="114">
        <f>ROUND(E102-F102+G102,2)</f>
        <v>0</v>
      </c>
      <c r="I102" s="18" t="s">
        <v>997</v>
      </c>
      <c r="K102" s="18" t="s">
        <v>832</v>
      </c>
      <c r="L102" s="18" t="str">
        <f>_xlfn.IFNA(VLOOKUP(I102,科目余额表!B:M,11,0),K102)</f>
        <v>贷</v>
      </c>
    </row>
    <row r="103" spans="1:12">
      <c r="A103" s="111" t="s">
        <v>998</v>
      </c>
      <c r="B103" s="112"/>
      <c r="C103" s="110"/>
      <c r="D103" s="110"/>
      <c r="E103" s="110">
        <f>E101-E102</f>
        <v>0</v>
      </c>
      <c r="F103" s="110">
        <f t="shared" ref="F103:H103" si="18">F101-F102</f>
        <v>0</v>
      </c>
      <c r="G103" s="110">
        <f t="shared" si="18"/>
        <v>0</v>
      </c>
      <c r="H103" s="110">
        <f t="shared" si="18"/>
        <v>0</v>
      </c>
      <c r="L103" s="18">
        <f>_xlfn.IFNA(VLOOKUP(I103,科目余额表!B:M,11,0),K103)</f>
        <v>0</v>
      </c>
    </row>
    <row r="104" spans="1:12">
      <c r="A104" s="111" t="s">
        <v>999</v>
      </c>
      <c r="B104" s="112" t="s">
        <v>750</v>
      </c>
      <c r="C104" s="110"/>
      <c r="D104" s="110"/>
      <c r="E104" s="113"/>
      <c r="F104" s="1">
        <f>ROUND(SUMIF(上期ETY!D:D,B104,上期ETY!F:F),2)</f>
        <v>0</v>
      </c>
      <c r="G104" s="1">
        <f>ROUND(SUMIF(上期ETY!D:D,B104,上期ETY!G:G),2)</f>
        <v>0</v>
      </c>
      <c r="H104" s="114">
        <f t="shared" ref="H104:H106" si="19">ROUND(E104+F104-G104,2)</f>
        <v>0</v>
      </c>
      <c r="I104" s="18" t="s">
        <v>750</v>
      </c>
      <c r="K104" s="18" t="s">
        <v>810</v>
      </c>
      <c r="L104" s="18" t="str">
        <f>_xlfn.IFNA(VLOOKUP(I104,科目余额表!B:M,11,0),K104)</f>
        <v>借</v>
      </c>
    </row>
    <row r="105" spans="1:12">
      <c r="A105" s="111" t="s">
        <v>1000</v>
      </c>
      <c r="B105" s="112" t="s">
        <v>751</v>
      </c>
      <c r="C105" s="110"/>
      <c r="D105" s="110"/>
      <c r="E105" s="113"/>
      <c r="F105" s="1">
        <f>ROUND(SUMIF(上期ETY!D:D,B105,上期ETY!F:F),2)</f>
        <v>0</v>
      </c>
      <c r="G105" s="1">
        <f>ROUND(SUMIF(上期ETY!D:D,B105,上期ETY!G:G),2)</f>
        <v>0</v>
      </c>
      <c r="H105" s="114">
        <f t="shared" si="19"/>
        <v>0</v>
      </c>
      <c r="I105" s="18" t="s">
        <v>751</v>
      </c>
      <c r="K105" s="18" t="s">
        <v>810</v>
      </c>
      <c r="L105" s="18" t="str">
        <f>_xlfn.IFNA(VLOOKUP(I105,科目余额表!B:M,11,0),K105)</f>
        <v>借</v>
      </c>
    </row>
    <row r="106" spans="1:12">
      <c r="A106" s="111" t="s">
        <v>1001</v>
      </c>
      <c r="B106" s="112" t="s">
        <v>80</v>
      </c>
      <c r="C106" s="110"/>
      <c r="D106" s="110"/>
      <c r="E106" s="113"/>
      <c r="F106" s="1">
        <f>ROUND(SUMIF(上期ETY!D:D,B106,上期ETY!F:F),2)</f>
        <v>0</v>
      </c>
      <c r="G106" s="1">
        <f>ROUND(SUMIF(上期ETY!D:D,B106,上期ETY!G:G),2)</f>
        <v>0</v>
      </c>
      <c r="H106" s="114">
        <f t="shared" si="19"/>
        <v>0</v>
      </c>
      <c r="I106" s="18" t="s">
        <v>1002</v>
      </c>
      <c r="K106" s="18" t="s">
        <v>810</v>
      </c>
      <c r="L106" s="18" t="str">
        <f>_xlfn.IFNA(VLOOKUP(I106,科目余额表!B:M,11,0),K106)</f>
        <v>借</v>
      </c>
    </row>
    <row r="107" spans="1:12">
      <c r="A107" s="119" t="s">
        <v>1003</v>
      </c>
      <c r="B107" s="112"/>
      <c r="C107" s="118"/>
      <c r="D107" s="118"/>
      <c r="E107" s="120">
        <f>E59+E62+E63+E66+E67+E71+E74+E75+E76+E80+E84+E88+E90+E91+E95+E99+E100+E103+E104+E105+E106+E85+E89</f>
        <v>0</v>
      </c>
      <c r="F107" s="110">
        <f>F59+F62+F63+F66+F67+F71+F74+F75+F76+F80+F84+F88+F90+F91+F95+F99+F100+F103+F104+F105+F106+F85+F89</f>
        <v>0</v>
      </c>
      <c r="G107" s="110">
        <f>G59+G62+G63+G66+G67+G71+G74+G75+G76+G80+G84+G88+G90+G91+G95+G99+G100+G103+G104+G105+G106+G85+G89</f>
        <v>0</v>
      </c>
      <c r="H107" s="120">
        <f>H59+H62+H63+H66+H67+H71+H74+H75+H76+H80+H84+H88+H90+H91+H95+H99+H100+H103+H104+H105+H106+H85+H89</f>
        <v>0</v>
      </c>
      <c r="L107" s="18">
        <f>_xlfn.IFNA(VLOOKUP(I107,科目余额表!B:M,11,0),K107)</f>
        <v>0</v>
      </c>
    </row>
    <row r="108" spans="1:12">
      <c r="A108" s="119" t="s">
        <v>1004</v>
      </c>
      <c r="B108" s="112"/>
      <c r="C108" s="110"/>
      <c r="D108" s="110"/>
      <c r="E108" s="120">
        <f>E107+E57</f>
        <v>0</v>
      </c>
      <c r="F108" s="110">
        <f>F107+F57</f>
        <v>0</v>
      </c>
      <c r="G108" s="110">
        <f>G107+G57</f>
        <v>0</v>
      </c>
      <c r="H108" s="120">
        <f>H107+H57</f>
        <v>0</v>
      </c>
      <c r="L108" s="18">
        <f>_xlfn.IFNA(VLOOKUP(I108,科目余额表!B:M,11,0),K108)</f>
        <v>0</v>
      </c>
    </row>
    <row r="109" spans="1:12">
      <c r="A109" s="121" t="s">
        <v>1005</v>
      </c>
      <c r="B109" s="112"/>
      <c r="C109" s="110"/>
      <c r="D109" s="110"/>
      <c r="E109" s="110"/>
      <c r="L109" s="18">
        <f>_xlfn.IFNA(VLOOKUP(I109,科目余额表!B:M,11,0),K109)</f>
        <v>0</v>
      </c>
    </row>
    <row r="110" spans="1:12">
      <c r="A110" s="122" t="s">
        <v>1006</v>
      </c>
      <c r="B110" s="112" t="s">
        <v>735</v>
      </c>
      <c r="C110" s="110"/>
      <c r="D110" s="110"/>
      <c r="E110" s="113"/>
      <c r="F110" s="1">
        <f>ROUND(SUMIF(上期ETY!D:D,B110,上期ETY!F:F),2)</f>
        <v>0</v>
      </c>
      <c r="G110" s="1">
        <f>ROUND(SUMIF(上期ETY!D:D,B110,上期ETY!G:G),2)</f>
        <v>0</v>
      </c>
      <c r="H110" s="114">
        <f>ROUND(E110-F110+G110,2)</f>
        <v>0</v>
      </c>
      <c r="I110" s="18" t="s">
        <v>735</v>
      </c>
      <c r="K110" s="18" t="s">
        <v>832</v>
      </c>
      <c r="L110" s="18" t="str">
        <f>_xlfn.IFNA(VLOOKUP(I110,科目余额表!B:M,11,0),K110)</f>
        <v>贷</v>
      </c>
    </row>
    <row r="111" spans="1:12">
      <c r="A111" s="122" t="s">
        <v>1007</v>
      </c>
      <c r="B111" s="112" t="s">
        <v>1008</v>
      </c>
      <c r="C111" s="110"/>
      <c r="D111" s="110"/>
      <c r="E111" s="113"/>
      <c r="F111" s="1">
        <f>ROUND(SUMIF(上期ETY!D:D,B111,上期ETY!F:F),2)</f>
        <v>0</v>
      </c>
      <c r="G111" s="1">
        <f>ROUND(SUMIF(上期ETY!D:D,B111,上期ETY!G:G),2)</f>
        <v>0</v>
      </c>
      <c r="H111" s="114">
        <f t="shared" ref="H111:H134" si="20">ROUND(E111-F111+G111,2)</f>
        <v>0</v>
      </c>
      <c r="I111" s="18" t="s">
        <v>1008</v>
      </c>
      <c r="K111" s="18" t="s">
        <v>832</v>
      </c>
      <c r="L111" s="18" t="str">
        <f>_xlfn.IFNA(VLOOKUP(I111,科目余额表!B:M,11,0),K111)</f>
        <v>贷</v>
      </c>
    </row>
    <row r="112" spans="1:12">
      <c r="A112" s="122" t="s">
        <v>1009</v>
      </c>
      <c r="B112" s="112" t="s">
        <v>1010</v>
      </c>
      <c r="C112" s="110"/>
      <c r="D112" s="110"/>
      <c r="E112" s="113"/>
      <c r="F112" s="1">
        <f>ROUND(SUMIF(上期ETY!D:D,B112,上期ETY!F:F),2)</f>
        <v>0</v>
      </c>
      <c r="G112" s="1">
        <f>ROUND(SUMIF(上期ETY!D:D,B112,上期ETY!G:G),2)</f>
        <v>0</v>
      </c>
      <c r="H112" s="114">
        <f t="shared" si="20"/>
        <v>0</v>
      </c>
      <c r="I112" s="18" t="s">
        <v>1010</v>
      </c>
      <c r="K112" s="18" t="s">
        <v>832</v>
      </c>
      <c r="L112" s="18" t="str">
        <f>_xlfn.IFNA(VLOOKUP(I112,科目余额表!B:M,11,0),K112)</f>
        <v>贷</v>
      </c>
    </row>
    <row r="113" spans="1:12">
      <c r="A113" s="123" t="s">
        <v>1011</v>
      </c>
      <c r="B113" s="112" t="s">
        <v>496</v>
      </c>
      <c r="C113" s="110"/>
      <c r="D113" s="116" t="s">
        <v>823</v>
      </c>
      <c r="E113" s="113"/>
      <c r="F113" s="1">
        <f>ROUND(SUMIF(上期ETY!D:D,B113,上期ETY!F:F),2)</f>
        <v>0</v>
      </c>
      <c r="G113" s="1">
        <f>ROUND(SUMIF(上期ETY!D:D,B113,上期ETY!G:G),2)</f>
        <v>0</v>
      </c>
      <c r="H113" s="114">
        <f t="shared" si="20"/>
        <v>0</v>
      </c>
      <c r="I113" s="18" t="s">
        <v>496</v>
      </c>
      <c r="K113" s="18" t="s">
        <v>832</v>
      </c>
      <c r="L113" s="18" t="str">
        <f>_xlfn.IFNA(VLOOKUP(I113,科目余额表!B:M,11,0),K113)</f>
        <v>贷</v>
      </c>
    </row>
    <row r="114" spans="1:12">
      <c r="A114" s="123" t="s">
        <v>1012</v>
      </c>
      <c r="B114" s="112" t="s">
        <v>1013</v>
      </c>
      <c r="C114" s="116" t="s">
        <v>825</v>
      </c>
      <c r="D114" s="116"/>
      <c r="E114" s="113"/>
      <c r="F114" s="1">
        <f>ROUND(SUMIF(上期ETY!D:D,B114,上期ETY!F:F),2)</f>
        <v>0</v>
      </c>
      <c r="G114" s="1">
        <f>ROUND(SUMIF(上期ETY!D:D,B114,上期ETY!G:G),2)</f>
        <v>0</v>
      </c>
      <c r="H114" s="114">
        <f t="shared" si="20"/>
        <v>0</v>
      </c>
      <c r="I114" s="18" t="s">
        <v>1013</v>
      </c>
      <c r="K114" s="18" t="s">
        <v>832</v>
      </c>
      <c r="L114" s="18" t="str">
        <f>_xlfn.IFNA(VLOOKUP(I114,科目余额表!B:M,11,0),K114)</f>
        <v>贷</v>
      </c>
    </row>
    <row r="115" spans="1:12">
      <c r="A115" s="122" t="s">
        <v>1014</v>
      </c>
      <c r="B115" s="112" t="s">
        <v>1015</v>
      </c>
      <c r="C115" s="110"/>
      <c r="D115" s="110"/>
      <c r="E115" s="113"/>
      <c r="F115" s="1">
        <f>ROUND(SUMIF(上期ETY!D:D,B115,上期ETY!F:F),2)</f>
        <v>0</v>
      </c>
      <c r="G115" s="1">
        <f>ROUND(SUMIF(上期ETY!D:D,B115,上期ETY!G:G),2)</f>
        <v>0</v>
      </c>
      <c r="H115" s="114">
        <f t="shared" si="20"/>
        <v>0</v>
      </c>
      <c r="I115" s="18" t="s">
        <v>1015</v>
      </c>
      <c r="K115" s="18" t="s">
        <v>832</v>
      </c>
      <c r="L115" s="18" t="str">
        <f>_xlfn.IFNA(VLOOKUP(I115,科目余额表!B:M,11,0),K115)</f>
        <v>贷</v>
      </c>
    </row>
    <row r="116" spans="1:12">
      <c r="A116" s="122" t="s">
        <v>1016</v>
      </c>
      <c r="B116" s="112" t="s">
        <v>752</v>
      </c>
      <c r="C116" s="110"/>
      <c r="D116" s="110"/>
      <c r="E116" s="113"/>
      <c r="F116" s="1">
        <f>ROUND(SUMIF(上期ETY!D:D,B116,上期ETY!F:F),2)</f>
        <v>0</v>
      </c>
      <c r="G116" s="1">
        <f>ROUND(SUMIF(上期ETY!D:D,B116,上期ETY!G:G),2)</f>
        <v>0</v>
      </c>
      <c r="H116" s="114">
        <f t="shared" si="20"/>
        <v>0</v>
      </c>
      <c r="I116" s="18" t="s">
        <v>752</v>
      </c>
      <c r="K116" s="18" t="s">
        <v>832</v>
      </c>
      <c r="L116" s="18" t="str">
        <f>_xlfn.IFNA(VLOOKUP(I116,科目余额表!B:M,11,0),K116)</f>
        <v>贷</v>
      </c>
    </row>
    <row r="117" spans="1:12">
      <c r="A117" s="123" t="s">
        <v>1017</v>
      </c>
      <c r="B117" s="112" t="s">
        <v>1018</v>
      </c>
      <c r="C117" s="110"/>
      <c r="D117" s="110"/>
      <c r="E117" s="113"/>
      <c r="F117" s="1">
        <f>ROUND(SUMIF(上期ETY!D:D,B117,上期ETY!F:F),2)</f>
        <v>0</v>
      </c>
      <c r="G117" s="1">
        <f>ROUND(SUMIF(上期ETY!D:D,B117,上期ETY!G:G),2)</f>
        <v>0</v>
      </c>
      <c r="H117" s="114">
        <f t="shared" si="20"/>
        <v>0</v>
      </c>
      <c r="I117" s="18" t="s">
        <v>93</v>
      </c>
      <c r="K117" s="18" t="s">
        <v>832</v>
      </c>
      <c r="L117" s="18" t="str">
        <f>_xlfn.IFNA(VLOOKUP(I117,科目余额表!B:M,11,0),K117)</f>
        <v>贷</v>
      </c>
    </row>
    <row r="118" spans="1:12">
      <c r="A118" s="123" t="s">
        <v>1019</v>
      </c>
      <c r="B118" s="112" t="s">
        <v>1020</v>
      </c>
      <c r="C118" s="110"/>
      <c r="D118" s="110"/>
      <c r="E118" s="113"/>
      <c r="F118" s="1">
        <f>ROUND(SUMIF(上期ETY!D:D,B118,上期ETY!F:F),2)</f>
        <v>0</v>
      </c>
      <c r="G118" s="1">
        <f>ROUND(SUMIF(上期ETY!D:D,B118,上期ETY!G:G),2)</f>
        <v>0</v>
      </c>
      <c r="H118" s="114">
        <f t="shared" si="20"/>
        <v>0</v>
      </c>
      <c r="I118" s="18" t="s">
        <v>767</v>
      </c>
      <c r="K118" s="18" t="s">
        <v>832</v>
      </c>
      <c r="L118" s="18" t="str">
        <f>_xlfn.IFNA(VLOOKUP(I118,科目余额表!B:M,11,0),K118)</f>
        <v>贷</v>
      </c>
    </row>
    <row r="119" spans="1:12">
      <c r="A119" s="122" t="s">
        <v>1021</v>
      </c>
      <c r="B119" s="112" t="s">
        <v>1022</v>
      </c>
      <c r="C119" s="110"/>
      <c r="D119" s="110"/>
      <c r="E119" s="113"/>
      <c r="F119" s="1">
        <f>ROUND(SUMIF(上期ETY!D:D,B119,上期ETY!F:F),2)</f>
        <v>0</v>
      </c>
      <c r="G119" s="1">
        <f>ROUND(SUMIF(上期ETY!D:D,B119,上期ETY!G:G),2)</f>
        <v>0</v>
      </c>
      <c r="H119" s="114">
        <f t="shared" si="20"/>
        <v>0</v>
      </c>
      <c r="I119" s="18" t="s">
        <v>1023</v>
      </c>
      <c r="K119" s="18" t="s">
        <v>832</v>
      </c>
      <c r="L119" s="18" t="str">
        <f>_xlfn.IFNA(VLOOKUP(I119,科目余额表!B:M,11,0),K119)</f>
        <v>贷</v>
      </c>
    </row>
    <row r="120" spans="1:12">
      <c r="A120" s="122" t="s">
        <v>1024</v>
      </c>
      <c r="B120" s="112" t="s">
        <v>1025</v>
      </c>
      <c r="C120" s="110"/>
      <c r="D120" s="110"/>
      <c r="E120" s="113"/>
      <c r="F120" s="1">
        <f>ROUND(SUMIF(上期ETY!D:D,B120,上期ETY!F:F),2)</f>
        <v>0</v>
      </c>
      <c r="G120" s="1">
        <f>ROUND(SUMIF(上期ETY!D:D,B120,上期ETY!G:G),2)</f>
        <v>0</v>
      </c>
      <c r="H120" s="114">
        <f t="shared" si="20"/>
        <v>0</v>
      </c>
      <c r="I120" s="18" t="s">
        <v>1025</v>
      </c>
      <c r="K120" s="18" t="s">
        <v>832</v>
      </c>
      <c r="L120" s="18" t="str">
        <f>_xlfn.IFNA(VLOOKUP(I120,科目余额表!B:M,11,0),K120)</f>
        <v>贷</v>
      </c>
    </row>
    <row r="121" spans="1:12">
      <c r="A121" s="123" t="s">
        <v>1026</v>
      </c>
      <c r="B121" s="112" t="s">
        <v>1027</v>
      </c>
      <c r="C121" s="110"/>
      <c r="D121" s="110"/>
      <c r="E121" s="113"/>
      <c r="F121" s="1">
        <f>ROUND(SUMIF(上期ETY!D:D,B121,上期ETY!F:F),2)</f>
        <v>0</v>
      </c>
      <c r="G121" s="1">
        <f>ROUND(SUMIF(上期ETY!D:D,B121,上期ETY!G:G),2)</f>
        <v>0</v>
      </c>
      <c r="H121" s="114">
        <f t="shared" si="20"/>
        <v>0</v>
      </c>
      <c r="I121" s="18" t="s">
        <v>1027</v>
      </c>
      <c r="K121" s="18" t="s">
        <v>832</v>
      </c>
      <c r="L121" s="18" t="str">
        <f>_xlfn.IFNA(VLOOKUP(I121,科目余额表!B:M,11,0),K121)</f>
        <v>贷</v>
      </c>
    </row>
    <row r="122" spans="1:12">
      <c r="A122" s="122" t="s">
        <v>1028</v>
      </c>
      <c r="B122" s="112" t="s">
        <v>1029</v>
      </c>
      <c r="C122" s="110"/>
      <c r="D122" s="110"/>
      <c r="E122" s="113"/>
      <c r="F122" s="1">
        <f>ROUND(SUMIF(上期ETY!D:D,B122,上期ETY!F:F),2)</f>
        <v>0</v>
      </c>
      <c r="G122" s="1">
        <f>ROUND(SUMIF(上期ETY!D:D,B122,上期ETY!G:G),2)</f>
        <v>0</v>
      </c>
      <c r="H122" s="114">
        <f t="shared" si="20"/>
        <v>0</v>
      </c>
      <c r="I122" s="18" t="s">
        <v>1029</v>
      </c>
      <c r="K122" s="18" t="s">
        <v>832</v>
      </c>
      <c r="L122" s="18" t="str">
        <f>_xlfn.IFNA(VLOOKUP(I122,科目余额表!B:M,11,0),K122)</f>
        <v>贷</v>
      </c>
    </row>
    <row r="123" spans="1:12">
      <c r="A123" s="122" t="s">
        <v>1030</v>
      </c>
      <c r="B123" s="112" t="s">
        <v>1031</v>
      </c>
      <c r="C123" s="110"/>
      <c r="D123" s="110"/>
      <c r="E123" s="113"/>
      <c r="F123" s="1">
        <f>ROUND(SUMIF(上期ETY!D:D,B123,上期ETY!F:F),2)</f>
        <v>0</v>
      </c>
      <c r="G123" s="1">
        <f>ROUND(SUMIF(上期ETY!D:D,B123,上期ETY!G:G),2)</f>
        <v>0</v>
      </c>
      <c r="H123" s="114">
        <f t="shared" si="20"/>
        <v>0</v>
      </c>
      <c r="I123" s="18" t="s">
        <v>1031</v>
      </c>
      <c r="K123" s="18" t="s">
        <v>832</v>
      </c>
      <c r="L123" s="18" t="str">
        <f>_xlfn.IFNA(VLOOKUP(I123,科目余额表!B:M,11,0),K123)</f>
        <v>贷</v>
      </c>
    </row>
    <row r="124" spans="1:12">
      <c r="A124" s="122" t="s">
        <v>1032</v>
      </c>
      <c r="B124" s="112" t="s">
        <v>753</v>
      </c>
      <c r="C124" s="110"/>
      <c r="D124" s="110"/>
      <c r="E124" s="113"/>
      <c r="F124" s="1">
        <f>ROUND(SUMIF(上期ETY!D:D,B124,上期ETY!F:F),2)</f>
        <v>0</v>
      </c>
      <c r="G124" s="1">
        <f>ROUND(SUMIF(上期ETY!D:D,B124,上期ETY!G:G),2)</f>
        <v>0</v>
      </c>
      <c r="H124" s="114">
        <f t="shared" si="20"/>
        <v>0</v>
      </c>
      <c r="I124" s="18" t="s">
        <v>753</v>
      </c>
      <c r="K124" s="18" t="s">
        <v>832</v>
      </c>
      <c r="L124" s="18" t="str">
        <f>_xlfn.IFNA(VLOOKUP(I124,科目余额表!B:M,11,0),K124)</f>
        <v>贷</v>
      </c>
    </row>
    <row r="125" spans="1:12">
      <c r="A125" s="122" t="s">
        <v>1033</v>
      </c>
      <c r="B125" s="112" t="s">
        <v>754</v>
      </c>
      <c r="C125" s="110"/>
      <c r="D125" s="110"/>
      <c r="E125" s="113"/>
      <c r="F125" s="1">
        <f>ROUND(SUMIF(上期ETY!D:D,B125,上期ETY!F:F),2)</f>
        <v>0</v>
      </c>
      <c r="G125" s="1">
        <f>ROUND(SUMIF(上期ETY!D:D,B125,上期ETY!G:G),2)</f>
        <v>0</v>
      </c>
      <c r="H125" s="114">
        <f t="shared" si="20"/>
        <v>0</v>
      </c>
      <c r="I125" s="18" t="s">
        <v>754</v>
      </c>
      <c r="K125" s="18" t="s">
        <v>832</v>
      </c>
      <c r="L125" s="18" t="str">
        <f>_xlfn.IFNA(VLOOKUP(I125,科目余额表!B:M,11,0),K125)</f>
        <v>贷</v>
      </c>
    </row>
    <row r="126" spans="1:12">
      <c r="A126" s="122" t="s">
        <v>1034</v>
      </c>
      <c r="B126" s="112" t="s">
        <v>1035</v>
      </c>
      <c r="C126" s="110"/>
      <c r="D126" s="110"/>
      <c r="E126" s="113"/>
      <c r="F126" s="1">
        <f>ROUND(SUMIF(上期ETY!D:D,B126,上期ETY!F:F),2)</f>
        <v>0</v>
      </c>
      <c r="G126" s="1">
        <f>ROUND(SUMIF(上期ETY!D:D,B126,上期ETY!G:G),2)</f>
        <v>0</v>
      </c>
      <c r="H126" s="114">
        <f t="shared" si="20"/>
        <v>0</v>
      </c>
      <c r="I126" s="18" t="s">
        <v>526</v>
      </c>
      <c r="K126" s="18" t="s">
        <v>832</v>
      </c>
      <c r="L126" s="18" t="str">
        <f>_xlfn.IFNA(VLOOKUP(I126,科目余额表!B:M,11,0),K126)</f>
        <v>贷</v>
      </c>
    </row>
    <row r="127" spans="1:12">
      <c r="A127" s="122" t="s">
        <v>1036</v>
      </c>
      <c r="B127" s="112" t="s">
        <v>1037</v>
      </c>
      <c r="C127" s="110"/>
      <c r="D127" s="110"/>
      <c r="E127" s="113"/>
      <c r="F127" s="1">
        <f>ROUND(SUMIF(上期ETY!D:D,B127,上期ETY!F:F),2)</f>
        <v>0</v>
      </c>
      <c r="G127" s="1">
        <f>ROUND(SUMIF(上期ETY!D:D,B127,上期ETY!G:G),2)</f>
        <v>0</v>
      </c>
      <c r="H127" s="114">
        <f t="shared" si="20"/>
        <v>0</v>
      </c>
      <c r="I127" s="18" t="s">
        <v>527</v>
      </c>
      <c r="K127" s="18" t="s">
        <v>832</v>
      </c>
      <c r="L127" s="18" t="str">
        <f>_xlfn.IFNA(VLOOKUP(I127,科目余额表!B:M,11,0),K127)</f>
        <v>贷</v>
      </c>
    </row>
    <row r="128" spans="1:12">
      <c r="A128" s="122" t="s">
        <v>1038</v>
      </c>
      <c r="B128" s="112" t="s">
        <v>528</v>
      </c>
      <c r="C128" s="110"/>
      <c r="D128" s="110"/>
      <c r="E128" s="113"/>
      <c r="F128" s="1">
        <f>ROUND(SUMIF(上期ETY!D:D,B128,上期ETY!F:F),2)</f>
        <v>0</v>
      </c>
      <c r="G128" s="1">
        <f>ROUND(SUMIF(上期ETY!D:D,B128,上期ETY!G:G),2)</f>
        <v>0</v>
      </c>
      <c r="H128" s="114">
        <f>ROUND(E128-F128+G128,2)</f>
        <v>0</v>
      </c>
      <c r="I128" s="18" t="s">
        <v>528</v>
      </c>
      <c r="K128" s="18" t="s">
        <v>832</v>
      </c>
      <c r="L128" s="18" t="str">
        <f>_xlfn.IFNA(VLOOKUP(I128,科目余额表!B:M,11,0),K128)</f>
        <v>贷</v>
      </c>
    </row>
    <row r="129" spans="1:12">
      <c r="A129" s="122" t="s">
        <v>1039</v>
      </c>
      <c r="B129" s="112" t="s">
        <v>1040</v>
      </c>
      <c r="C129" s="110"/>
      <c r="D129" s="110"/>
      <c r="E129" s="113"/>
      <c r="F129" s="1">
        <f>ROUND(SUMIF(上期ETY!D:D,B129,上期ETY!F:F),2)</f>
        <v>0</v>
      </c>
      <c r="G129" s="1">
        <f>ROUND(SUMIF(上期ETY!D:D,B129,上期ETY!G:G),2)</f>
        <v>0</v>
      </c>
      <c r="H129" s="114">
        <f t="shared" si="20"/>
        <v>0</v>
      </c>
      <c r="I129" s="18" t="s">
        <v>1040</v>
      </c>
      <c r="K129" s="18" t="s">
        <v>832</v>
      </c>
      <c r="L129" s="18" t="str">
        <f>_xlfn.IFNA(VLOOKUP(I129,科目余额表!B:M,11,0),K129)</f>
        <v>贷</v>
      </c>
    </row>
    <row r="130" spans="1:12">
      <c r="A130" s="122" t="s">
        <v>1041</v>
      </c>
      <c r="B130" s="112" t="s">
        <v>1042</v>
      </c>
      <c r="C130" s="110"/>
      <c r="D130" s="110"/>
      <c r="E130" s="113"/>
      <c r="F130" s="1">
        <f>ROUND(SUMIF(上期ETY!D:D,B130,上期ETY!F:F),2)</f>
        <v>0</v>
      </c>
      <c r="G130" s="1">
        <f>ROUND(SUMIF(上期ETY!D:D,B130,上期ETY!G:G),2)</f>
        <v>0</v>
      </c>
      <c r="H130" s="114">
        <f t="shared" si="20"/>
        <v>0</v>
      </c>
      <c r="I130" s="18" t="s">
        <v>1042</v>
      </c>
      <c r="K130" s="18" t="s">
        <v>832</v>
      </c>
      <c r="L130" s="18" t="str">
        <f>_xlfn.IFNA(VLOOKUP(I130,科目余额表!B:M,11,0),K130)</f>
        <v>贷</v>
      </c>
    </row>
    <row r="131" spans="1:12">
      <c r="A131" s="122" t="s">
        <v>1043</v>
      </c>
      <c r="B131" s="112" t="s">
        <v>82</v>
      </c>
      <c r="C131" s="110"/>
      <c r="D131" s="116" t="s">
        <v>823</v>
      </c>
      <c r="E131" s="113"/>
      <c r="F131" s="1">
        <f>ROUND(SUMIF(上期ETY!D:D,B131,上期ETY!F:F),2)</f>
        <v>0</v>
      </c>
      <c r="G131" s="1">
        <f>ROUND(SUMIF(上期ETY!D:D,B131,上期ETY!G:G),2)</f>
        <v>0</v>
      </c>
      <c r="H131" s="114">
        <f t="shared" si="20"/>
        <v>0</v>
      </c>
      <c r="I131" s="18" t="s">
        <v>82</v>
      </c>
      <c r="K131" s="18" t="s">
        <v>832</v>
      </c>
      <c r="L131" s="18" t="str">
        <f>_xlfn.IFNA(VLOOKUP(I131,科目余额表!B:M,11,0),K131)</f>
        <v>贷</v>
      </c>
    </row>
    <row r="132" spans="1:12">
      <c r="A132" s="122" t="s">
        <v>1044</v>
      </c>
      <c r="B132" s="112" t="s">
        <v>1045</v>
      </c>
      <c r="C132" s="110"/>
      <c r="D132" s="110"/>
      <c r="E132" s="113"/>
      <c r="F132" s="1">
        <f>ROUND(SUMIF(上期ETY!D:D,B132,上期ETY!F:F),2)</f>
        <v>0</v>
      </c>
      <c r="G132" s="1">
        <f>ROUND(SUMIF(上期ETY!D:D,B132,上期ETY!G:G),2)</f>
        <v>0</v>
      </c>
      <c r="H132" s="114">
        <f t="shared" si="20"/>
        <v>0</v>
      </c>
      <c r="I132" s="18" t="s">
        <v>1045</v>
      </c>
      <c r="K132" s="18" t="s">
        <v>832</v>
      </c>
      <c r="L132" s="18" t="str">
        <f>_xlfn.IFNA(VLOOKUP(I132,科目余额表!B:M,11,0),K132)</f>
        <v>贷</v>
      </c>
    </row>
    <row r="133" spans="1:12">
      <c r="A133" s="122" t="s">
        <v>1046</v>
      </c>
      <c r="B133" s="112" t="s">
        <v>1047</v>
      </c>
      <c r="C133" s="110"/>
      <c r="D133" s="110"/>
      <c r="E133" s="113"/>
      <c r="F133" s="1">
        <f>ROUND(SUMIF(上期ETY!D:D,B133,上期ETY!F:F),2)</f>
        <v>0</v>
      </c>
      <c r="G133" s="1">
        <f>ROUND(SUMIF(上期ETY!D:D,B133,上期ETY!G:G),2)</f>
        <v>0</v>
      </c>
      <c r="H133" s="114">
        <f t="shared" si="20"/>
        <v>0</v>
      </c>
      <c r="I133" s="18" t="s">
        <v>1047</v>
      </c>
      <c r="K133" s="18" t="s">
        <v>832</v>
      </c>
      <c r="L133" s="18" t="str">
        <f>_xlfn.IFNA(VLOOKUP(I133,科目余额表!B:M,11,0),K133)</f>
        <v>贷</v>
      </c>
    </row>
    <row r="134" spans="1:12">
      <c r="A134" s="122" t="s">
        <v>1048</v>
      </c>
      <c r="B134" s="112" t="s">
        <v>1049</v>
      </c>
      <c r="C134" s="110"/>
      <c r="D134" s="110"/>
      <c r="E134" s="113"/>
      <c r="F134" s="1">
        <f>ROUND(SUMIF(上期ETY!D:D,B134,上期ETY!F:F),2)</f>
        <v>0</v>
      </c>
      <c r="G134" s="1">
        <f>ROUND(SUMIF(上期ETY!D:D,B134,上期ETY!G:G),2)</f>
        <v>0</v>
      </c>
      <c r="H134" s="114">
        <f t="shared" si="20"/>
        <v>0</v>
      </c>
      <c r="I134" s="18" t="s">
        <v>1049</v>
      </c>
      <c r="K134" s="18" t="s">
        <v>832</v>
      </c>
      <c r="L134" s="18" t="str">
        <f>_xlfn.IFNA(VLOOKUP(I134,科目余额表!B:M,11,0),K134)</f>
        <v>贷</v>
      </c>
    </row>
    <row r="135" spans="1:12">
      <c r="A135" s="121" t="s">
        <v>1050</v>
      </c>
      <c r="B135" s="112"/>
      <c r="C135" s="118"/>
      <c r="D135" s="118"/>
      <c r="E135" s="120">
        <f>E110+E111+E112+E113+E114+E115+E116+E117+E118+E119+E120+E121+E122+E123+E124+E125+E128+E129+E130+E131+E132+E133+E134+E126+E127</f>
        <v>0</v>
      </c>
      <c r="F135" s="110">
        <f t="shared" ref="F135:G135" si="21">F110+F111+F112+F113+F114+F115+F116+F117+F118+F119+F120+F121+F122+F123+F124+F125+F128+F129+F130+F131+F132+F133+F134+F126+F127</f>
        <v>0</v>
      </c>
      <c r="G135" s="110">
        <f t="shared" si="21"/>
        <v>0</v>
      </c>
      <c r="H135" s="120">
        <f>H110+H111+H112+H113+H114+H115+H116+H117+H118+H119+H120+H121+H122+H123+H124+H125+H128+H129+H130+H131+H132+H133+H134+H126+H127</f>
        <v>0</v>
      </c>
      <c r="L135" s="18">
        <f>_xlfn.IFNA(VLOOKUP(I135,科目余额表!B:M,11,0),K135)</f>
        <v>0</v>
      </c>
    </row>
    <row r="136" spans="1:12">
      <c r="A136" s="121" t="s">
        <v>1051</v>
      </c>
      <c r="B136" s="112"/>
      <c r="C136" s="110"/>
      <c r="D136" s="110"/>
      <c r="E136" s="110"/>
      <c r="L136" s="18">
        <f>_xlfn.IFNA(VLOOKUP(I136,科目余额表!B:M,11,0),K136)</f>
        <v>0</v>
      </c>
    </row>
    <row r="137" spans="1:12">
      <c r="A137" s="122" t="s">
        <v>1052</v>
      </c>
      <c r="B137" s="112" t="s">
        <v>1053</v>
      </c>
      <c r="C137" s="110"/>
      <c r="D137" s="110"/>
      <c r="E137" s="110"/>
      <c r="F137" s="1">
        <f>ROUND(SUMIF(上期ETY!D:D,B137,上期ETY!F:F),2)</f>
        <v>0</v>
      </c>
      <c r="G137" s="1">
        <f>ROUND(SUMIF(上期ETY!D:D,B137,上期ETY!G:G),2)</f>
        <v>0</v>
      </c>
      <c r="H137" s="114">
        <f t="shared" ref="H137:H151" si="22">ROUND(E137-F137+G137,2)</f>
        <v>0</v>
      </c>
      <c r="I137" s="18" t="s">
        <v>1053</v>
      </c>
      <c r="K137" s="18" t="s">
        <v>832</v>
      </c>
      <c r="L137" s="18" t="str">
        <f>_xlfn.IFNA(VLOOKUP(I137,科目余额表!B:M,11,0),K137)</f>
        <v>贷</v>
      </c>
    </row>
    <row r="138" spans="1:12">
      <c r="A138" s="122" t="s">
        <v>1054</v>
      </c>
      <c r="B138" s="112" t="s">
        <v>736</v>
      </c>
      <c r="C138" s="110"/>
      <c r="D138" s="110"/>
      <c r="E138" s="113"/>
      <c r="F138" s="1">
        <f>ROUND(SUMIF(上期ETY!D:D,B138,上期ETY!F:F),2)</f>
        <v>0</v>
      </c>
      <c r="G138" s="1">
        <f>ROUND(SUMIF(上期ETY!D:D,B138,上期ETY!G:G),2)</f>
        <v>0</v>
      </c>
      <c r="H138" s="114">
        <f t="shared" si="22"/>
        <v>0</v>
      </c>
      <c r="I138" s="18" t="s">
        <v>736</v>
      </c>
      <c r="K138" s="18" t="s">
        <v>832</v>
      </c>
      <c r="L138" s="18" t="str">
        <f>_xlfn.IFNA(VLOOKUP(I138,科目余额表!B:M,11,0),K138)</f>
        <v>贷</v>
      </c>
    </row>
    <row r="139" spans="1:12">
      <c r="A139" s="122" t="s">
        <v>1055</v>
      </c>
      <c r="B139" s="112" t="s">
        <v>756</v>
      </c>
      <c r="C139" s="110"/>
      <c r="D139" s="110"/>
      <c r="E139" s="113"/>
      <c r="F139" s="1">
        <f>ROUND(SUMIF(上期ETY!D:D,B139,上期ETY!F:F),2)</f>
        <v>0</v>
      </c>
      <c r="G139" s="1">
        <f>ROUND(SUMIF(上期ETY!D:D,B139,上期ETY!G:G),2)</f>
        <v>0</v>
      </c>
      <c r="H139" s="114">
        <f t="shared" si="22"/>
        <v>0</v>
      </c>
      <c r="I139" s="18" t="s">
        <v>756</v>
      </c>
      <c r="K139" s="18" t="s">
        <v>832</v>
      </c>
      <c r="L139" s="18" t="str">
        <f>_xlfn.IFNA(VLOOKUP(I139,科目余额表!B:M,11,0),K139)</f>
        <v>贷</v>
      </c>
    </row>
    <row r="140" spans="1:12">
      <c r="A140" s="122" t="s">
        <v>1056</v>
      </c>
      <c r="B140" s="112" t="s">
        <v>1057</v>
      </c>
      <c r="C140" s="110"/>
      <c r="D140" s="110"/>
      <c r="E140" s="110"/>
      <c r="F140" s="1">
        <f>ROUND(SUMIF(上期ETY!D:D,B140,上期ETY!F:F),2)</f>
        <v>0</v>
      </c>
      <c r="G140" s="1">
        <f>ROUND(SUMIF(上期ETY!D:D,B140,上期ETY!G:G),2)</f>
        <v>0</v>
      </c>
      <c r="H140" s="114">
        <f t="shared" si="22"/>
        <v>0</v>
      </c>
      <c r="I140" s="18" t="s">
        <v>1058</v>
      </c>
      <c r="K140" s="18" t="s">
        <v>832</v>
      </c>
      <c r="L140" s="18" t="str">
        <f>_xlfn.IFNA(VLOOKUP(I140,科目余额表!B:M,11,0),K140)</f>
        <v>贷</v>
      </c>
    </row>
    <row r="141" spans="1:12">
      <c r="A141" s="123" t="s">
        <v>1059</v>
      </c>
      <c r="B141" s="112" t="s">
        <v>1060</v>
      </c>
      <c r="C141" s="110"/>
      <c r="D141" s="110"/>
      <c r="E141" s="110"/>
      <c r="F141" s="1">
        <f>ROUND(SUMIF(上期ETY!D:D,B141,上期ETY!F:F),2)</f>
        <v>0</v>
      </c>
      <c r="G141" s="1">
        <f>ROUND(SUMIF(上期ETY!D:D,B141,上期ETY!G:G),2)</f>
        <v>0</v>
      </c>
      <c r="H141" s="114">
        <f t="shared" si="22"/>
        <v>0</v>
      </c>
      <c r="I141" s="18" t="s">
        <v>1060</v>
      </c>
      <c r="K141" s="18" t="s">
        <v>832</v>
      </c>
      <c r="L141" s="18" t="str">
        <f>_xlfn.IFNA(VLOOKUP(I141,科目余额表!B:M,11,0),K141)</f>
        <v>贷</v>
      </c>
    </row>
    <row r="142" spans="1:12">
      <c r="A142" s="123" t="s">
        <v>1061</v>
      </c>
      <c r="B142" s="112" t="s">
        <v>92</v>
      </c>
      <c r="C142" s="110"/>
      <c r="D142" s="116" t="s">
        <v>823</v>
      </c>
      <c r="E142" s="110"/>
      <c r="F142" s="1">
        <f>ROUND(SUMIF(上期ETY!D:D,B142,上期ETY!F:F),2)</f>
        <v>0</v>
      </c>
      <c r="G142" s="1">
        <f>ROUND(SUMIF(上期ETY!D:D,B142,上期ETY!G:G),2)</f>
        <v>0</v>
      </c>
      <c r="H142" s="114">
        <f t="shared" si="22"/>
        <v>0</v>
      </c>
      <c r="I142" s="18" t="s">
        <v>92</v>
      </c>
      <c r="K142" s="18" t="s">
        <v>832</v>
      </c>
      <c r="L142" s="18" t="str">
        <f>_xlfn.IFNA(VLOOKUP(I142,科目余额表!B:M,11,0),K142)</f>
        <v>贷</v>
      </c>
    </row>
    <row r="143" spans="1:12">
      <c r="A143" s="123" t="s">
        <v>1062</v>
      </c>
      <c r="B143" s="112" t="s">
        <v>1063</v>
      </c>
      <c r="C143" s="110"/>
      <c r="D143" s="116"/>
      <c r="E143" s="113"/>
      <c r="F143" s="1">
        <f>ROUND(SUMIF(上期ETY!D:D,B143,上期ETY!F:F),2)</f>
        <v>0</v>
      </c>
      <c r="G143" s="1">
        <f>ROUND(SUMIF(上期ETY!D:D,B143,上期ETY!G:G),2)</f>
        <v>0</v>
      </c>
      <c r="H143" s="114">
        <f t="shared" si="22"/>
        <v>0</v>
      </c>
      <c r="I143" s="18" t="s">
        <v>1063</v>
      </c>
      <c r="K143" s="18" t="s">
        <v>832</v>
      </c>
      <c r="L143" s="18" t="str">
        <f>_xlfn.IFNA(VLOOKUP(I143,科目余额表!B:M,11,0),K143)</f>
        <v>贷</v>
      </c>
    </row>
    <row r="144" spans="1:12">
      <c r="A144" s="123" t="s">
        <v>1064</v>
      </c>
      <c r="B144" s="112" t="s">
        <v>1065</v>
      </c>
      <c r="C144" s="110"/>
      <c r="D144" s="116"/>
      <c r="E144" s="113"/>
      <c r="F144" s="1">
        <f>ROUND(SUMIF(上期ETY!D:D,B144,上期ETY!F:F),2)</f>
        <v>0</v>
      </c>
      <c r="G144" s="1">
        <f>ROUND(SUMIF(上期ETY!D:D,B144,上期ETY!G:G),2)</f>
        <v>0</v>
      </c>
      <c r="H144" s="114">
        <f t="shared" si="22"/>
        <v>0</v>
      </c>
      <c r="I144" s="18" t="s">
        <v>94</v>
      </c>
      <c r="K144" s="18" t="s">
        <v>832</v>
      </c>
      <c r="L144" s="18" t="str">
        <f>_xlfn.IFNA(VLOOKUP(I144,科目余额表!B:M,11,0),K144)</f>
        <v>贷</v>
      </c>
    </row>
    <row r="145" spans="1:12">
      <c r="A145" s="123" t="s">
        <v>1066</v>
      </c>
      <c r="B145" s="112" t="s">
        <v>1067</v>
      </c>
      <c r="C145" s="110"/>
      <c r="D145" s="116"/>
      <c r="E145" s="113"/>
      <c r="F145" s="1">
        <f>ROUND(SUMIF(上期ETY!D:D,B145,上期ETY!F:F),2)</f>
        <v>0</v>
      </c>
      <c r="G145" s="1">
        <f>ROUND(SUMIF(上期ETY!D:D,B145,上期ETY!G:G),2)</f>
        <v>0</v>
      </c>
      <c r="H145" s="114">
        <f t="shared" ref="H145" si="23">ROUND(E145+F145-G145,2)</f>
        <v>0</v>
      </c>
      <c r="I145" s="18" t="s">
        <v>1068</v>
      </c>
      <c r="K145" s="18" t="s">
        <v>1069</v>
      </c>
      <c r="L145" s="18" t="s">
        <v>1069</v>
      </c>
    </row>
    <row r="146" spans="1:12">
      <c r="A146" s="122" t="s">
        <v>1070</v>
      </c>
      <c r="B146" s="112"/>
      <c r="C146" s="110"/>
      <c r="D146" s="110"/>
      <c r="E146" s="113"/>
      <c r="F146" s="1"/>
      <c r="G146" s="1"/>
      <c r="H146" s="114">
        <f>H144-H145</f>
        <v>0</v>
      </c>
    </row>
    <row r="147" spans="1:12">
      <c r="A147" s="122" t="s">
        <v>1071</v>
      </c>
      <c r="B147" s="112" t="s">
        <v>1072</v>
      </c>
      <c r="C147" s="110"/>
      <c r="D147" s="110"/>
      <c r="E147" s="113"/>
      <c r="F147" s="1">
        <f>ROUND(SUMIF(上期ETY!D:D,B147,上期ETY!F:F),2)</f>
        <v>0</v>
      </c>
      <c r="G147" s="1">
        <f>ROUND(SUMIF(上期ETY!D:D,B147,上期ETY!G:G),2)</f>
        <v>0</v>
      </c>
      <c r="H147" s="114">
        <f t="shared" si="22"/>
        <v>0</v>
      </c>
      <c r="I147" s="18" t="s">
        <v>1072</v>
      </c>
      <c r="K147" s="18" t="s">
        <v>832</v>
      </c>
      <c r="L147" s="18" t="str">
        <f>_xlfn.IFNA(VLOOKUP(I147,科目余额表!B:M,11,0),K147)</f>
        <v>贷</v>
      </c>
    </row>
    <row r="148" spans="1:12">
      <c r="A148" s="122" t="s">
        <v>1073</v>
      </c>
      <c r="B148" s="112" t="s">
        <v>1074</v>
      </c>
      <c r="C148" s="110"/>
      <c r="D148" s="110"/>
      <c r="E148" s="113"/>
      <c r="F148" s="1">
        <f>ROUND(SUMIF(上期ETY!D:D,B148,上期ETY!F:F),2)</f>
        <v>0</v>
      </c>
      <c r="G148" s="1">
        <f>ROUND(SUMIF(上期ETY!D:D,B148,上期ETY!G:G),2)</f>
        <v>0</v>
      </c>
      <c r="H148" s="114">
        <f t="shared" si="22"/>
        <v>0</v>
      </c>
      <c r="I148" s="18" t="s">
        <v>1074</v>
      </c>
      <c r="K148" s="18" t="s">
        <v>832</v>
      </c>
      <c r="L148" s="18" t="str">
        <f>_xlfn.IFNA(VLOOKUP(I148,科目余额表!B:M,11,0),K148)</f>
        <v>贷</v>
      </c>
    </row>
    <row r="149" spans="1:12">
      <c r="A149" s="122" t="s">
        <v>1075</v>
      </c>
      <c r="B149" s="112" t="s">
        <v>755</v>
      </c>
      <c r="C149" s="110"/>
      <c r="D149" s="110"/>
      <c r="E149" s="113"/>
      <c r="F149" s="1">
        <f>ROUND(SUMIF(上期ETY!D:D,B149,上期ETY!F:F),2)</f>
        <v>0</v>
      </c>
      <c r="G149" s="1">
        <f>ROUND(SUMIF(上期ETY!D:D,B149,上期ETY!G:G),2)</f>
        <v>0</v>
      </c>
      <c r="H149" s="114">
        <f t="shared" si="22"/>
        <v>0</v>
      </c>
      <c r="I149" s="18" t="s">
        <v>755</v>
      </c>
      <c r="K149" s="18" t="s">
        <v>832</v>
      </c>
      <c r="L149" s="18" t="str">
        <f>_xlfn.IFNA(VLOOKUP(I149,科目余额表!B:M,11,0),K149)</f>
        <v>贷</v>
      </c>
    </row>
    <row r="150" spans="1:12">
      <c r="A150" s="122" t="s">
        <v>1076</v>
      </c>
      <c r="B150" s="112" t="s">
        <v>757</v>
      </c>
      <c r="C150" s="110"/>
      <c r="D150" s="110"/>
      <c r="E150" s="113"/>
      <c r="F150" s="1">
        <f>ROUND(SUMIF(上期ETY!D:D,B150,上期ETY!F:F),2)</f>
        <v>0</v>
      </c>
      <c r="G150" s="1">
        <f>ROUND(SUMIF(上期ETY!D:D,B150,上期ETY!G:G),2)</f>
        <v>0</v>
      </c>
      <c r="H150" s="114">
        <f t="shared" si="22"/>
        <v>0</v>
      </c>
      <c r="I150" s="18" t="s">
        <v>757</v>
      </c>
      <c r="K150" s="18" t="s">
        <v>832</v>
      </c>
      <c r="L150" s="18" t="str">
        <f>_xlfn.IFNA(VLOOKUP(I150,科目余额表!B:M,11,0),K150)</f>
        <v>贷</v>
      </c>
    </row>
    <row r="151" spans="1:12">
      <c r="A151" s="122" t="s">
        <v>1077</v>
      </c>
      <c r="B151" s="112" t="s">
        <v>84</v>
      </c>
      <c r="C151" s="110"/>
      <c r="D151" s="110"/>
      <c r="E151" s="113"/>
      <c r="F151" s="1">
        <f>ROUND(SUMIF(上期ETY!D:D,B151,上期ETY!F:F),2)</f>
        <v>0</v>
      </c>
      <c r="G151" s="1">
        <f>ROUND(SUMIF(上期ETY!D:D,B151,上期ETY!G:G),2)</f>
        <v>0</v>
      </c>
      <c r="H151" s="114">
        <f t="shared" si="22"/>
        <v>0</v>
      </c>
      <c r="I151" s="18" t="s">
        <v>84</v>
      </c>
      <c r="K151" s="18" t="s">
        <v>832</v>
      </c>
      <c r="L151" s="18" t="str">
        <f>_xlfn.IFNA(VLOOKUP(I151,科目余额表!B:M,11,0),K151)</f>
        <v>贷</v>
      </c>
    </row>
    <row r="152" spans="1:12">
      <c r="A152" s="121" t="s">
        <v>1078</v>
      </c>
      <c r="B152" s="112"/>
      <c r="C152" s="118"/>
      <c r="D152" s="118"/>
      <c r="E152" s="120">
        <f>E137+E138+E139+E142+E143+E146+E147+E148+E149+E150+E151</f>
        <v>0</v>
      </c>
      <c r="F152" s="110">
        <f t="shared" ref="F152:G152" si="24">F137+F138+F139+F142+F146+F147+F148+F149+F150+F151</f>
        <v>0</v>
      </c>
      <c r="G152" s="110">
        <f t="shared" si="24"/>
        <v>0</v>
      </c>
      <c r="H152" s="120">
        <f>H137+H138+H139+H142+H143+H146+H147+H148+H149+H150+H151</f>
        <v>0</v>
      </c>
      <c r="L152" s="18">
        <f>_xlfn.IFNA(VLOOKUP(I152,科目余额表!B:M,11,0),K152)</f>
        <v>0</v>
      </c>
    </row>
    <row r="153" spans="1:12">
      <c r="A153" s="121" t="s">
        <v>1079</v>
      </c>
      <c r="B153" s="112"/>
      <c r="C153" s="110"/>
      <c r="D153" s="110"/>
      <c r="E153" s="120">
        <f>E152+E135</f>
        <v>0</v>
      </c>
      <c r="F153" s="110">
        <f t="shared" ref="F153:H153" si="25">F152+F135</f>
        <v>0</v>
      </c>
      <c r="G153" s="110">
        <f t="shared" si="25"/>
        <v>0</v>
      </c>
      <c r="H153" s="120">
        <f t="shared" si="25"/>
        <v>0</v>
      </c>
      <c r="L153" s="18">
        <f>_xlfn.IFNA(VLOOKUP(I153,科目余额表!B:M,11,0),K153)</f>
        <v>0</v>
      </c>
    </row>
    <row r="154" spans="1:12">
      <c r="A154" s="124" t="s">
        <v>1080</v>
      </c>
      <c r="B154" s="112"/>
      <c r="C154" s="110"/>
      <c r="D154" s="110"/>
      <c r="E154" s="110"/>
      <c r="L154" s="18">
        <f>_xlfn.IFNA(VLOOKUP(I154,科目余额表!B:M,11,0),K154)</f>
        <v>0</v>
      </c>
    </row>
    <row r="155" spans="1:12">
      <c r="A155" s="122" t="s">
        <v>1081</v>
      </c>
      <c r="B155" s="112" t="s">
        <v>1082</v>
      </c>
      <c r="C155" s="110"/>
      <c r="D155" s="110"/>
      <c r="E155" s="113"/>
      <c r="F155" s="1">
        <f>ROUND(SUMIF(上期ETY!D:D,B155,上期ETY!F:F),2)</f>
        <v>0</v>
      </c>
      <c r="G155" s="1">
        <f>ROUND(SUMIF(上期ETY!D:D,B155,上期ETY!G:G),2)</f>
        <v>0</v>
      </c>
      <c r="H155" s="114">
        <f t="shared" ref="H155:H164" si="26">ROUND(E155-F155+G155,2)</f>
        <v>0</v>
      </c>
      <c r="I155" s="18" t="s">
        <v>758</v>
      </c>
      <c r="K155" s="18" t="s">
        <v>832</v>
      </c>
      <c r="L155" s="18" t="str">
        <f>_xlfn.IFNA(VLOOKUP(I155,科目余额表!B:M,11,0),K155)</f>
        <v>贷</v>
      </c>
    </row>
    <row r="156" spans="1:12">
      <c r="A156" s="122" t="s">
        <v>1083</v>
      </c>
      <c r="B156" s="112" t="s">
        <v>1084</v>
      </c>
      <c r="C156" s="110"/>
      <c r="D156" s="110"/>
      <c r="E156" s="110"/>
      <c r="F156" s="1">
        <f>ROUND(SUMIF(上期ETY!D:D,B156,上期ETY!F:F),2)</f>
        <v>0</v>
      </c>
      <c r="G156" s="1">
        <f>ROUND(SUMIF(上期ETY!D:D,B156,上期ETY!G:G),2)</f>
        <v>0</v>
      </c>
      <c r="H156" s="114">
        <f t="shared" si="26"/>
        <v>0</v>
      </c>
      <c r="I156" s="18" t="s">
        <v>1084</v>
      </c>
      <c r="K156" s="18" t="s">
        <v>832</v>
      </c>
      <c r="L156" s="18" t="str">
        <f>_xlfn.IFNA(VLOOKUP(I156,科目余额表!B:M,11,0),K156)</f>
        <v>贷</v>
      </c>
    </row>
    <row r="157" spans="1:12">
      <c r="A157" s="122" t="s">
        <v>1085</v>
      </c>
      <c r="B157" s="112"/>
      <c r="C157" s="110"/>
      <c r="D157" s="110"/>
      <c r="E157" s="110"/>
      <c r="F157" s="1">
        <f>ROUND(SUMIF(上期ETY!D:D,B157,上期ETY!F:F),2)</f>
        <v>0</v>
      </c>
      <c r="G157" s="1">
        <f>ROUND(SUMIF(上期ETY!D:D,B157,上期ETY!G:G),2)</f>
        <v>0</v>
      </c>
      <c r="H157" s="114">
        <f t="shared" si="26"/>
        <v>0</v>
      </c>
      <c r="L157" s="18">
        <f>_xlfn.IFNA(VLOOKUP(I157,科目余额表!B:M,11,0),K157)</f>
        <v>0</v>
      </c>
    </row>
    <row r="158" spans="1:12">
      <c r="A158" s="122" t="s">
        <v>1086</v>
      </c>
      <c r="B158" s="112"/>
      <c r="C158" s="110"/>
      <c r="D158" s="110"/>
      <c r="E158" s="110"/>
      <c r="F158" s="1">
        <f>ROUND(SUMIF(上期ETY!D:D,B158,上期ETY!F:F),2)</f>
        <v>0</v>
      </c>
      <c r="G158" s="1">
        <f>ROUND(SUMIF(上期ETY!D:D,B158,上期ETY!G:G),2)</f>
        <v>0</v>
      </c>
      <c r="H158" s="114">
        <f t="shared" si="26"/>
        <v>0</v>
      </c>
      <c r="L158" s="18">
        <f>_xlfn.IFNA(VLOOKUP(I158,科目余额表!B:M,11,0),K158)</f>
        <v>0</v>
      </c>
    </row>
    <row r="159" spans="1:12">
      <c r="A159" s="122" t="s">
        <v>1087</v>
      </c>
      <c r="B159" s="112" t="s">
        <v>759</v>
      </c>
      <c r="C159" s="110"/>
      <c r="D159" s="110"/>
      <c r="E159" s="113"/>
      <c r="F159" s="1">
        <f>ROUND(SUMIF(上期ETY!D:D,B159,上期ETY!F:F),2)</f>
        <v>0</v>
      </c>
      <c r="G159" s="1">
        <f>ROUND(SUMIF(上期ETY!D:D,B159,上期ETY!G:G),2)</f>
        <v>0</v>
      </c>
      <c r="H159" s="114">
        <f t="shared" si="26"/>
        <v>0</v>
      </c>
      <c r="I159" s="18" t="s">
        <v>759</v>
      </c>
      <c r="K159" s="18" t="s">
        <v>832</v>
      </c>
      <c r="L159" s="18" t="str">
        <f>_xlfn.IFNA(VLOOKUP(I159,科目余额表!B:M,11,0),K159)</f>
        <v>贷</v>
      </c>
    </row>
    <row r="160" spans="1:12">
      <c r="A160" s="122" t="s">
        <v>1088</v>
      </c>
      <c r="B160" s="112" t="s">
        <v>1089</v>
      </c>
      <c r="C160" s="110"/>
      <c r="D160" s="110"/>
      <c r="E160" s="110"/>
      <c r="F160" s="1">
        <f>ROUND(SUMIF(上期ETY!D:D,B160,上期ETY!F:F),2)</f>
        <v>0</v>
      </c>
      <c r="G160" s="1">
        <f>ROUND(SUMIF(上期ETY!D:D,B160,上期ETY!G:G),2)</f>
        <v>0</v>
      </c>
      <c r="H160" s="114">
        <f t="shared" si="26"/>
        <v>0</v>
      </c>
      <c r="I160" s="18" t="s">
        <v>1090</v>
      </c>
      <c r="K160" s="18" t="s">
        <v>832</v>
      </c>
      <c r="L160" s="18" t="str">
        <f>_xlfn.IFNA(VLOOKUP(I160,科目余额表!B:M,11,0),K160)</f>
        <v>贷</v>
      </c>
    </row>
    <row r="161" spans="1:12">
      <c r="A161" s="122" t="s">
        <v>1091</v>
      </c>
      <c r="B161" s="112" t="s">
        <v>760</v>
      </c>
      <c r="C161" s="110"/>
      <c r="D161" s="110"/>
      <c r="E161" s="113"/>
      <c r="F161" s="1">
        <f>ROUND(SUMIF(上期ETY!D:D,B161,上期ETY!F:F),2)</f>
        <v>0</v>
      </c>
      <c r="G161" s="1">
        <f>ROUND(SUMIF(上期ETY!D:D,B161,上期ETY!G:G),2)</f>
        <v>0</v>
      </c>
      <c r="H161" s="114">
        <f t="shared" si="26"/>
        <v>0</v>
      </c>
      <c r="I161" s="18" t="s">
        <v>760</v>
      </c>
      <c r="K161" s="18" t="s">
        <v>832</v>
      </c>
      <c r="L161" s="18" t="str">
        <f>_xlfn.IFNA(VLOOKUP(I161,科目余额表!B:M,11,0),K161)</f>
        <v>贷</v>
      </c>
    </row>
    <row r="162" spans="1:12">
      <c r="A162" s="122" t="s">
        <v>1092</v>
      </c>
      <c r="B162" s="112" t="s">
        <v>1093</v>
      </c>
      <c r="C162" s="110"/>
      <c r="D162" s="110"/>
      <c r="E162" s="110"/>
      <c r="F162" s="1">
        <f>ROUND(SUMIF(上期ETY!D:D,B162,上期ETY!F:F),2)</f>
        <v>0</v>
      </c>
      <c r="G162" s="1">
        <f>ROUND(SUMIF(上期ETY!D:D,B162,上期ETY!G:G),2)</f>
        <v>0</v>
      </c>
      <c r="H162" s="114">
        <f t="shared" si="26"/>
        <v>0</v>
      </c>
      <c r="I162" s="18" t="s">
        <v>1093</v>
      </c>
      <c r="K162" s="18" t="s">
        <v>832</v>
      </c>
      <c r="L162" s="18" t="str">
        <f>_xlfn.IFNA(VLOOKUP(I162,科目余额表!B:M,11,0),K162)</f>
        <v>贷</v>
      </c>
    </row>
    <row r="163" spans="1:12">
      <c r="A163" s="122" t="s">
        <v>1094</v>
      </c>
      <c r="B163" s="112" t="s">
        <v>70</v>
      </c>
      <c r="C163" s="110"/>
      <c r="D163" s="110"/>
      <c r="E163" s="113"/>
      <c r="F163" s="1">
        <f>ROUND(SUMIF(上期ETY!D:D,B163,上期ETY!F:F),2)</f>
        <v>0</v>
      </c>
      <c r="G163" s="1">
        <f>ROUND(SUMIF(上期ETY!D:D,B163,上期ETY!G:G),2)</f>
        <v>0</v>
      </c>
      <c r="H163" s="114">
        <f t="shared" si="26"/>
        <v>0</v>
      </c>
      <c r="I163" s="18" t="s">
        <v>70</v>
      </c>
      <c r="K163" s="18" t="s">
        <v>832</v>
      </c>
      <c r="L163" s="18" t="str">
        <f>_xlfn.IFNA(VLOOKUP(I163,科目余额表!B:M,11,0),K163)</f>
        <v>贷</v>
      </c>
    </row>
    <row r="164" spans="1:12">
      <c r="A164" s="122" t="s">
        <v>1095</v>
      </c>
      <c r="B164" s="112" t="s">
        <v>1096</v>
      </c>
      <c r="C164" s="110"/>
      <c r="D164" s="110"/>
      <c r="E164" s="110"/>
      <c r="F164" s="1">
        <f>ROUND(SUMIF(上期ETY!D:D,B164,上期ETY!F:F),2)</f>
        <v>0</v>
      </c>
      <c r="G164" s="1">
        <f>ROUND(SUMIF(上期ETY!D:D,B164,上期ETY!G:G),2)</f>
        <v>0</v>
      </c>
      <c r="H164" s="114">
        <f t="shared" si="26"/>
        <v>0</v>
      </c>
      <c r="I164" s="18" t="s">
        <v>1096</v>
      </c>
      <c r="K164" s="18" t="s">
        <v>832</v>
      </c>
      <c r="L164" s="18" t="str">
        <f>_xlfn.IFNA(VLOOKUP(I164,科目余额表!B:M,11,0),K164)</f>
        <v>贷</v>
      </c>
    </row>
    <row r="165" spans="1:12">
      <c r="A165" s="122" t="s">
        <v>1097</v>
      </c>
      <c r="B165" s="112" t="s">
        <v>72</v>
      </c>
      <c r="C165" s="110"/>
      <c r="D165" s="110"/>
      <c r="E165" s="110">
        <f>E255</f>
        <v>0</v>
      </c>
      <c r="F165" s="1">
        <f>ROUND(SUMIF(上期ETY!D:D,B165,上期ETY!F:F),2)</f>
        <v>0</v>
      </c>
      <c r="G165" s="1">
        <f>ROUND(SUMIF(上期ETY!D:D,B165,上期ETY!G:G),2)</f>
        <v>0</v>
      </c>
      <c r="H165" s="114">
        <f>H255</f>
        <v>0</v>
      </c>
      <c r="I165" s="18" t="s">
        <v>72</v>
      </c>
      <c r="K165" s="18" t="s">
        <v>832</v>
      </c>
      <c r="L165" s="18" t="str">
        <f>_xlfn.IFNA(VLOOKUP(I165,科目余额表!B:M,11,0),K165)</f>
        <v>贷</v>
      </c>
    </row>
    <row r="166" spans="1:12">
      <c r="A166" s="122" t="s">
        <v>1098</v>
      </c>
      <c r="B166" s="112"/>
      <c r="C166" s="117"/>
      <c r="D166" s="117"/>
      <c r="E166" s="117" t="str">
        <f t="shared" ref="E166:H166" si="27">IF((SUM(E155:E159,E161:E165)-E160-E157-E158)&lt;&gt;0,(SUM(E155:E159,E161:E165)-E160-E157-E158),"")</f>
        <v/>
      </c>
      <c r="F166" s="117" t="str">
        <f t="shared" si="27"/>
        <v/>
      </c>
      <c r="G166" s="117" t="str">
        <f t="shared" si="27"/>
        <v/>
      </c>
      <c r="H166" s="117" t="str">
        <f t="shared" si="27"/>
        <v/>
      </c>
      <c r="L166" s="18">
        <f>_xlfn.IFNA(VLOOKUP(I166,科目余额表!B:M,11,0),K166)</f>
        <v>0</v>
      </c>
    </row>
    <row r="167" spans="1:12">
      <c r="A167" s="122" t="s">
        <v>1099</v>
      </c>
      <c r="B167" s="112" t="s">
        <v>1100</v>
      </c>
      <c r="C167" s="110"/>
      <c r="D167" s="110"/>
      <c r="E167" s="110"/>
      <c r="F167" s="1">
        <f>ROUND(SUMIF(上期ETY!D:D,B167,上期ETY!F:F),2)</f>
        <v>0</v>
      </c>
      <c r="G167" s="1">
        <f>ROUND(SUMIF(上期ETY!D:D,B167,上期ETY!G:G),2)</f>
        <v>0</v>
      </c>
      <c r="H167" s="114">
        <f t="shared" ref="H167" si="28">ROUND(E167-F167+G167,2)</f>
        <v>0</v>
      </c>
      <c r="I167" s="18" t="s">
        <v>1100</v>
      </c>
      <c r="K167" s="18" t="s">
        <v>832</v>
      </c>
      <c r="L167" s="18" t="str">
        <f>_xlfn.IFNA(VLOOKUP(I167,科目余额表!B:M,11,0),K167)</f>
        <v>贷</v>
      </c>
    </row>
    <row r="168" spans="1:12">
      <c r="A168" s="125" t="s">
        <v>1101</v>
      </c>
      <c r="B168" s="112"/>
      <c r="C168" s="118"/>
      <c r="D168" s="118"/>
      <c r="E168" s="118">
        <f t="shared" ref="E168" si="29">SUM(E166:E167)</f>
        <v>0</v>
      </c>
      <c r="F168" s="118">
        <f t="shared" ref="F168:H168" si="30">SUM(F166:F167)</f>
        <v>0</v>
      </c>
      <c r="G168" s="118">
        <f t="shared" si="30"/>
        <v>0</v>
      </c>
      <c r="H168" s="118">
        <f t="shared" si="30"/>
        <v>0</v>
      </c>
    </row>
    <row r="169" spans="1:12">
      <c r="A169" s="125" t="s">
        <v>1102</v>
      </c>
      <c r="B169" s="112"/>
      <c r="C169" s="118"/>
      <c r="D169" s="118"/>
      <c r="E169" s="118">
        <f t="shared" ref="E169:H169" si="31">SUM(E153,E168)</f>
        <v>0</v>
      </c>
      <c r="F169" s="118">
        <f t="shared" si="31"/>
        <v>0</v>
      </c>
      <c r="G169" s="118">
        <f t="shared" si="31"/>
        <v>0</v>
      </c>
      <c r="H169" s="118">
        <f t="shared" si="31"/>
        <v>0</v>
      </c>
    </row>
    <row r="170" spans="1:12">
      <c r="A170" s="124" t="s">
        <v>1103</v>
      </c>
      <c r="B170" s="112"/>
      <c r="C170" s="2"/>
      <c r="D170" s="2"/>
      <c r="E170" s="126">
        <f>SUM(E171:E176)-E172-E173</f>
        <v>0</v>
      </c>
      <c r="F170" s="126">
        <f t="shared" ref="F170:H170" si="32">SUM(F171:F176)-F172-F173</f>
        <v>0</v>
      </c>
      <c r="G170" s="126">
        <f t="shared" si="32"/>
        <v>0</v>
      </c>
      <c r="H170" s="126">
        <f t="shared" si="32"/>
        <v>0</v>
      </c>
    </row>
    <row r="171" spans="1:12">
      <c r="A171" s="123" t="s">
        <v>1104</v>
      </c>
      <c r="B171" s="112" t="s">
        <v>86</v>
      </c>
      <c r="C171" s="2"/>
      <c r="D171" s="2"/>
      <c r="E171" s="110">
        <f>SUM(E172:E173)</f>
        <v>0</v>
      </c>
      <c r="F171" s="110">
        <f t="shared" ref="F171:G171" si="33">SUM(F172:F173)</f>
        <v>0</v>
      </c>
      <c r="G171" s="110">
        <f t="shared" si="33"/>
        <v>0</v>
      </c>
      <c r="H171" s="114">
        <f t="shared" ref="H171:H176" si="34">ROUND(E171-F171+G171,2)</f>
        <v>0</v>
      </c>
      <c r="I171" s="18" t="s">
        <v>1105</v>
      </c>
    </row>
    <row r="172" spans="1:12">
      <c r="A172" s="123" t="s">
        <v>1106</v>
      </c>
      <c r="B172" s="112" t="s">
        <v>1107</v>
      </c>
      <c r="C172" s="2"/>
      <c r="D172" s="2"/>
      <c r="E172" s="113"/>
      <c r="F172" s="1">
        <f>ROUND(SUMIF(上期ETY!D:D,B172,上期ETY!F:F),2)</f>
        <v>0</v>
      </c>
      <c r="G172" s="1">
        <f>ROUND(SUMIF(上期ETY!D:D,B172,上期ETY!G:G),2)</f>
        <v>0</v>
      </c>
      <c r="H172" s="114">
        <f t="shared" si="34"/>
        <v>0</v>
      </c>
      <c r="I172" s="18" t="s">
        <v>768</v>
      </c>
    </row>
    <row r="173" spans="1:12">
      <c r="A173" s="123" t="s">
        <v>1108</v>
      </c>
      <c r="B173" s="112" t="s">
        <v>1109</v>
      </c>
      <c r="C173" s="2"/>
      <c r="D173" s="2"/>
      <c r="E173" s="113"/>
      <c r="F173" s="1">
        <f>ROUND(SUMIF(上期ETY!D:D,B173,上期ETY!F:F),2)</f>
        <v>0</v>
      </c>
      <c r="G173" s="1">
        <f>ROUND(SUMIF(上期ETY!D:D,B173,上期ETY!G:G),2)</f>
        <v>0</v>
      </c>
      <c r="H173" s="114">
        <f t="shared" si="34"/>
        <v>0</v>
      </c>
      <c r="I173" s="18" t="s">
        <v>769</v>
      </c>
    </row>
    <row r="174" spans="1:12">
      <c r="A174" s="123" t="s">
        <v>1110</v>
      </c>
      <c r="B174" s="112"/>
      <c r="C174" s="2"/>
      <c r="D174" s="2"/>
      <c r="E174" s="110"/>
      <c r="F174" s="1">
        <f>ROUND(SUMIF(上期ETY!D:D,B174,上期ETY!F:F),2)</f>
        <v>0</v>
      </c>
      <c r="G174" s="1">
        <f>ROUND(SUMIF(上期ETY!D:D,B174,上期ETY!G:G),2)</f>
        <v>0</v>
      </c>
      <c r="H174" s="114">
        <f t="shared" si="34"/>
        <v>0</v>
      </c>
    </row>
    <row r="175" spans="1:12">
      <c r="A175" s="123" t="s">
        <v>1111</v>
      </c>
      <c r="B175" s="112" t="s">
        <v>1112</v>
      </c>
      <c r="C175" s="2"/>
      <c r="E175" s="110"/>
      <c r="F175" s="1">
        <f>ROUND(SUMIF(上期ETY!D:D,B175,上期ETY!F:F),2)</f>
        <v>0</v>
      </c>
      <c r="G175" s="1">
        <f>ROUND(SUMIF(上期ETY!D:D,B175,上期ETY!G:G),2)</f>
        <v>0</v>
      </c>
      <c r="H175" s="114">
        <f t="shared" si="34"/>
        <v>0</v>
      </c>
      <c r="I175" s="18" t="s">
        <v>1112</v>
      </c>
    </row>
    <row r="176" spans="1:12">
      <c r="A176" s="123" t="s">
        <v>1113</v>
      </c>
      <c r="B176" s="112" t="s">
        <v>1114</v>
      </c>
      <c r="C176" s="2"/>
      <c r="E176" s="110"/>
      <c r="F176" s="1">
        <f>ROUND(SUMIF(上期ETY!D:D,B176,上期ETY!F:F),2)</f>
        <v>0</v>
      </c>
      <c r="G176" s="1">
        <f>ROUND(SUMIF(上期ETY!D:D,B176,上期ETY!G:G),2)</f>
        <v>0</v>
      </c>
      <c r="H176" s="114">
        <f t="shared" si="34"/>
        <v>0</v>
      </c>
      <c r="I176" s="18" t="s">
        <v>1114</v>
      </c>
    </row>
    <row r="177" spans="1:9">
      <c r="A177" s="124" t="s">
        <v>1115</v>
      </c>
      <c r="B177" s="112"/>
      <c r="C177" s="2"/>
      <c r="D177" s="126"/>
      <c r="E177" s="126">
        <f>SUM(E178:E192)-E179-E180</f>
        <v>0</v>
      </c>
      <c r="F177" s="126">
        <f t="shared" ref="F177:H177" si="35">SUM(F178:F192)-F179-F180</f>
        <v>0</v>
      </c>
      <c r="G177" s="126">
        <f t="shared" si="35"/>
        <v>0</v>
      </c>
      <c r="H177" s="126">
        <f t="shared" si="35"/>
        <v>0</v>
      </c>
    </row>
    <row r="178" spans="1:9">
      <c r="A178" s="122" t="s">
        <v>1116</v>
      </c>
      <c r="B178" s="112" t="s">
        <v>1117</v>
      </c>
      <c r="C178" s="3"/>
      <c r="E178" s="110">
        <f>SUM(E179:E180)</f>
        <v>0</v>
      </c>
      <c r="F178" s="110">
        <f t="shared" ref="F178:H178" si="36">SUM(F179:F180)</f>
        <v>0</v>
      </c>
      <c r="G178" s="110">
        <f t="shared" si="36"/>
        <v>0</v>
      </c>
      <c r="H178" s="110">
        <f t="shared" si="36"/>
        <v>0</v>
      </c>
      <c r="I178" s="18" t="s">
        <v>1118</v>
      </c>
    </row>
    <row r="179" spans="1:9">
      <c r="A179" s="122" t="s">
        <v>1119</v>
      </c>
      <c r="B179" s="112" t="s">
        <v>1120</v>
      </c>
      <c r="C179" s="3"/>
      <c r="E179" s="113"/>
      <c r="F179" s="1">
        <f>ROUND(SUMIF(上期ETY!D:D,B179,上期ETY!F:F),2)</f>
        <v>0</v>
      </c>
      <c r="G179" s="1">
        <f>ROUND(SUMIF(上期ETY!D:D,B179,上期ETY!G:G),2)</f>
        <v>0</v>
      </c>
      <c r="H179" s="114">
        <f t="shared" ref="H179:H192" si="37">ROUND(E179+F179-G179,2)</f>
        <v>0</v>
      </c>
      <c r="I179" s="18" t="s">
        <v>773</v>
      </c>
    </row>
    <row r="180" spans="1:9">
      <c r="A180" s="122" t="s">
        <v>1121</v>
      </c>
      <c r="B180" s="112" t="s">
        <v>1122</v>
      </c>
      <c r="C180" s="3"/>
      <c r="E180" s="113"/>
      <c r="F180" s="1">
        <f>ROUND(SUMIF(上期ETY!D:D,B180,上期ETY!F:F),2)</f>
        <v>0</v>
      </c>
      <c r="G180" s="1">
        <f>ROUND(SUMIF(上期ETY!D:D,B180,上期ETY!G:G),2)</f>
        <v>0</v>
      </c>
      <c r="H180" s="114">
        <f t="shared" si="37"/>
        <v>0</v>
      </c>
      <c r="I180" s="18" t="s">
        <v>774</v>
      </c>
    </row>
    <row r="181" spans="1:9">
      <c r="A181" s="122" t="s">
        <v>1123</v>
      </c>
      <c r="B181" s="112"/>
      <c r="C181" s="3"/>
      <c r="E181" s="110"/>
      <c r="F181" s="1">
        <f>ROUND(SUMIF(上期ETY!D:D,B181,上期ETY!F:F),2)</f>
        <v>0</v>
      </c>
      <c r="G181" s="1">
        <f>ROUND(SUMIF(上期ETY!D:D,B181,上期ETY!G:G),2)</f>
        <v>0</v>
      </c>
      <c r="H181" s="114">
        <f t="shared" si="37"/>
        <v>0</v>
      </c>
    </row>
    <row r="182" spans="1:9">
      <c r="A182" s="122" t="s">
        <v>1124</v>
      </c>
      <c r="B182" s="112" t="s">
        <v>1125</v>
      </c>
      <c r="C182" s="3"/>
      <c r="D182" s="3"/>
      <c r="E182" s="110"/>
      <c r="F182" s="1">
        <f>ROUND(SUMIF(上期ETY!D:D,B182,上期ETY!F:F),2)</f>
        <v>0</v>
      </c>
      <c r="G182" s="1">
        <f>ROUND(SUMIF(上期ETY!D:D,B182,上期ETY!G:G),2)</f>
        <v>0</v>
      </c>
      <c r="H182" s="114">
        <f t="shared" si="37"/>
        <v>0</v>
      </c>
      <c r="I182" s="18" t="s">
        <v>1125</v>
      </c>
    </row>
    <row r="183" spans="1:9">
      <c r="A183" s="122" t="s">
        <v>1126</v>
      </c>
      <c r="B183" s="112" t="s">
        <v>1127</v>
      </c>
      <c r="C183" s="3"/>
      <c r="D183" s="3"/>
      <c r="E183" s="110"/>
      <c r="F183" s="1">
        <f>ROUND(SUMIF(上期ETY!D:D,B183,上期ETY!F:F),2)</f>
        <v>0</v>
      </c>
      <c r="G183" s="1">
        <f>ROUND(SUMIF(上期ETY!D:D,B183,上期ETY!G:G),2)</f>
        <v>0</v>
      </c>
      <c r="H183" s="114">
        <f t="shared" si="37"/>
        <v>0</v>
      </c>
      <c r="I183" s="18" t="s">
        <v>1127</v>
      </c>
    </row>
    <row r="184" spans="1:9">
      <c r="A184" s="122" t="s">
        <v>1128</v>
      </c>
      <c r="B184" s="112" t="s">
        <v>1129</v>
      </c>
      <c r="C184" s="3"/>
      <c r="D184" s="3"/>
      <c r="E184" s="110"/>
      <c r="F184" s="1">
        <f>ROUND(SUMIF(上期ETY!D:D,B184,上期ETY!F:F),2)</f>
        <v>0</v>
      </c>
      <c r="G184" s="1">
        <f>ROUND(SUMIF(上期ETY!D:D,B184,上期ETY!G:G),2)</f>
        <v>0</v>
      </c>
      <c r="H184" s="114">
        <f t="shared" si="37"/>
        <v>0</v>
      </c>
      <c r="I184" s="18" t="s">
        <v>1129</v>
      </c>
    </row>
    <row r="185" spans="1:9">
      <c r="A185" s="122" t="s">
        <v>1130</v>
      </c>
      <c r="B185" s="112" t="s">
        <v>1131</v>
      </c>
      <c r="C185" s="3"/>
      <c r="D185" s="3"/>
      <c r="E185" s="110"/>
      <c r="F185" s="1">
        <f>ROUND(SUMIF(上期ETY!D:D,B185,上期ETY!F:F),2)</f>
        <v>0</v>
      </c>
      <c r="G185" s="1">
        <f>ROUND(SUMIF(上期ETY!D:D,B185,上期ETY!G:G),2)</f>
        <v>0</v>
      </c>
      <c r="H185" s="114">
        <f t="shared" si="37"/>
        <v>0</v>
      </c>
      <c r="I185" s="18" t="s">
        <v>1131</v>
      </c>
    </row>
    <row r="186" spans="1:9">
      <c r="A186" s="122" t="s">
        <v>1132</v>
      </c>
      <c r="B186" s="112" t="s">
        <v>1133</v>
      </c>
      <c r="C186" s="3"/>
      <c r="D186" s="3"/>
      <c r="E186" s="110"/>
      <c r="F186" s="1">
        <f>ROUND(SUMIF(上期ETY!D:D,B186,上期ETY!F:F),2)</f>
        <v>0</v>
      </c>
      <c r="G186" s="1">
        <f>ROUND(SUMIF(上期ETY!D:D,B186,上期ETY!G:G),2)</f>
        <v>0</v>
      </c>
      <c r="H186" s="114">
        <f t="shared" si="37"/>
        <v>0</v>
      </c>
      <c r="I186" s="18" t="s">
        <v>1133</v>
      </c>
    </row>
    <row r="187" spans="1:9">
      <c r="A187" s="122" t="s">
        <v>1134</v>
      </c>
      <c r="B187" s="112" t="s">
        <v>1135</v>
      </c>
      <c r="C187" s="3"/>
      <c r="D187" s="3"/>
      <c r="E187" s="110"/>
      <c r="F187" s="1">
        <f>ROUND(SUMIF(上期ETY!D:D,B187,上期ETY!F:F),2)</f>
        <v>0</v>
      </c>
      <c r="G187" s="1">
        <f>ROUND(SUMIF(上期ETY!D:D,B187,上期ETY!G:G),2)</f>
        <v>0</v>
      </c>
      <c r="H187" s="114">
        <f t="shared" si="37"/>
        <v>0</v>
      </c>
      <c r="I187" s="18" t="s">
        <v>1135</v>
      </c>
    </row>
    <row r="188" spans="1:9">
      <c r="A188" s="122" t="s">
        <v>1136</v>
      </c>
      <c r="B188" s="112" t="s">
        <v>1137</v>
      </c>
      <c r="C188" s="4"/>
      <c r="D188" s="4"/>
      <c r="E188" s="113"/>
      <c r="F188" s="1">
        <f>ROUND(SUMIF(上期ETY!D:D,B188,上期ETY!F:F),2)</f>
        <v>0</v>
      </c>
      <c r="G188" s="1">
        <f>ROUND(SUMIF(上期ETY!D:D,B188,上期ETY!G:G),2)</f>
        <v>0</v>
      </c>
      <c r="H188" s="114">
        <f t="shared" si="37"/>
        <v>0</v>
      </c>
      <c r="I188" s="18" t="s">
        <v>775</v>
      </c>
    </row>
    <row r="189" spans="1:9">
      <c r="A189" s="122" t="s">
        <v>1138</v>
      </c>
      <c r="B189" s="112" t="s">
        <v>776</v>
      </c>
      <c r="C189" s="4"/>
      <c r="D189" s="4"/>
      <c r="E189" s="110"/>
      <c r="F189" s="1">
        <f>ROUND(SUMIF(上期ETY!D:D,B189,上期ETY!F:F),2)</f>
        <v>0</v>
      </c>
      <c r="G189" s="1">
        <f>ROUND(SUMIF(上期ETY!D:D,B189,上期ETY!G:G),2)</f>
        <v>0</v>
      </c>
      <c r="H189" s="114">
        <f t="shared" si="37"/>
        <v>0</v>
      </c>
      <c r="I189" s="18" t="s">
        <v>776</v>
      </c>
    </row>
    <row r="190" spans="1:9">
      <c r="A190" s="122" t="s">
        <v>1139</v>
      </c>
      <c r="B190" s="112" t="s">
        <v>777</v>
      </c>
      <c r="C190" s="4"/>
      <c r="D190" s="4"/>
      <c r="E190" s="113"/>
      <c r="F190" s="1">
        <f>ROUND(SUMIF(上期ETY!D:D,B190,上期ETY!F:F),2)</f>
        <v>0</v>
      </c>
      <c r="G190" s="1">
        <f>ROUND(SUMIF(上期ETY!D:D,B190,上期ETY!G:G),2)</f>
        <v>0</v>
      </c>
      <c r="H190" s="114">
        <f t="shared" si="37"/>
        <v>0</v>
      </c>
      <c r="I190" s="18" t="s">
        <v>777</v>
      </c>
    </row>
    <row r="191" spans="1:9">
      <c r="A191" s="122" t="s">
        <v>1140</v>
      </c>
      <c r="B191" s="112" t="s">
        <v>1141</v>
      </c>
      <c r="C191" s="4"/>
      <c r="D191" s="4"/>
      <c r="E191" s="110"/>
      <c r="F191" s="1">
        <f>ROUND(SUMIF(上期ETY!D:D,B191,上期ETY!F:F),2)</f>
        <v>0</v>
      </c>
      <c r="G191" s="1">
        <f>ROUND(SUMIF(上期ETY!D:D,B191,上期ETY!G:G),2)</f>
        <v>0</v>
      </c>
      <c r="H191" s="114">
        <f t="shared" si="37"/>
        <v>0</v>
      </c>
      <c r="I191" s="18" t="s">
        <v>1141</v>
      </c>
    </row>
    <row r="192" spans="1:9">
      <c r="A192" s="122" t="s">
        <v>1142</v>
      </c>
      <c r="B192" s="112" t="s">
        <v>778</v>
      </c>
      <c r="C192" s="127"/>
      <c r="D192" s="127"/>
      <c r="E192" s="113"/>
      <c r="F192" s="1">
        <f>ROUND(SUMIF(上期ETY!D:D,B192,上期ETY!F:F),2)</f>
        <v>0</v>
      </c>
      <c r="G192" s="1">
        <f>ROUND(SUMIF(上期ETY!D:D,B192,上期ETY!G:G),2)</f>
        <v>0</v>
      </c>
      <c r="H192" s="114">
        <f t="shared" si="37"/>
        <v>0</v>
      </c>
      <c r="I192" s="18" t="s">
        <v>778</v>
      </c>
    </row>
    <row r="193" spans="1:9">
      <c r="A193" s="122" t="s">
        <v>1143</v>
      </c>
      <c r="B193" s="112" t="s">
        <v>1144</v>
      </c>
      <c r="C193" s="127"/>
      <c r="D193" s="127"/>
      <c r="E193" s="113"/>
      <c r="F193" s="1">
        <f>ROUND(SUMIF(上期ETY!D:D,B193,上期ETY!F:F),2)</f>
        <v>0</v>
      </c>
      <c r="G193" s="1">
        <f>ROUND(SUMIF(上期ETY!D:D,B193,上期ETY!G:G),2)</f>
        <v>0</v>
      </c>
      <c r="H193" s="114">
        <f t="shared" ref="H193:H204" si="38">ROUND(E193-F193+G193,2)</f>
        <v>0</v>
      </c>
      <c r="I193" s="18" t="s">
        <v>770</v>
      </c>
    </row>
    <row r="194" spans="1:9">
      <c r="A194" s="122" t="s">
        <v>1145</v>
      </c>
      <c r="B194" s="112" t="s">
        <v>1146</v>
      </c>
      <c r="C194" s="127"/>
      <c r="D194" s="127"/>
      <c r="E194" s="113"/>
      <c r="F194" s="1">
        <f>ROUND(SUMIF(上期ETY!D:D,B194,上期ETY!F:F),2)</f>
        <v>0</v>
      </c>
      <c r="G194" s="1">
        <f>ROUND(SUMIF(上期ETY!D:D,B194,上期ETY!G:G),2)</f>
        <v>0</v>
      </c>
      <c r="H194" s="114">
        <f t="shared" si="38"/>
        <v>0</v>
      </c>
      <c r="I194" s="18" t="s">
        <v>771</v>
      </c>
    </row>
    <row r="195" spans="1:9">
      <c r="A195" s="122" t="s">
        <v>1147</v>
      </c>
      <c r="B195" s="112"/>
      <c r="C195" s="127"/>
      <c r="D195" s="127"/>
      <c r="E195" s="126"/>
      <c r="H195" s="114">
        <f t="shared" si="38"/>
        <v>0</v>
      </c>
    </row>
    <row r="196" spans="1:9">
      <c r="A196" s="122" t="s">
        <v>1148</v>
      </c>
      <c r="B196" s="112"/>
      <c r="C196" s="127"/>
      <c r="D196" s="128" t="s">
        <v>823</v>
      </c>
      <c r="E196" s="126"/>
      <c r="H196" s="114">
        <f t="shared" si="38"/>
        <v>0</v>
      </c>
    </row>
    <row r="197" spans="1:9">
      <c r="A197" s="122" t="s">
        <v>1149</v>
      </c>
      <c r="B197" s="112" t="s">
        <v>1150</v>
      </c>
      <c r="C197" s="127"/>
      <c r="D197" s="128" t="s">
        <v>823</v>
      </c>
      <c r="E197" s="110"/>
      <c r="F197" s="1">
        <f>ROUND(SUMIF(上期ETY!D:D,B197,上期ETY!F:F),2)</f>
        <v>0</v>
      </c>
      <c r="G197" s="1">
        <f>ROUND(SUMIF(上期ETY!D:D,B197,上期ETY!G:G),2)</f>
        <v>0</v>
      </c>
      <c r="H197" s="114">
        <f t="shared" si="38"/>
        <v>0</v>
      </c>
      <c r="I197" s="18" t="s">
        <v>1151</v>
      </c>
    </row>
    <row r="198" spans="1:9">
      <c r="A198" s="122" t="s">
        <v>1152</v>
      </c>
      <c r="B198" s="112" t="s">
        <v>1153</v>
      </c>
      <c r="C198" s="127"/>
      <c r="D198" s="127"/>
      <c r="E198" s="110"/>
      <c r="F198" s="1">
        <f>ROUND(SUMIF(上期ETY!D:D,B198,上期ETY!F:F),2)</f>
        <v>0</v>
      </c>
      <c r="G198" s="1">
        <f>ROUND(SUMIF(上期ETY!D:D,B198,上期ETY!G:G),2)</f>
        <v>0</v>
      </c>
      <c r="H198" s="114">
        <f t="shared" si="38"/>
        <v>0</v>
      </c>
      <c r="I198" s="18" t="s">
        <v>1154</v>
      </c>
    </row>
    <row r="199" spans="1:9">
      <c r="A199" s="122" t="s">
        <v>1155</v>
      </c>
      <c r="B199" s="112" t="s">
        <v>1156</v>
      </c>
      <c r="C199" s="127"/>
      <c r="D199" s="128" t="s">
        <v>823</v>
      </c>
      <c r="E199" s="110"/>
      <c r="F199" s="1">
        <f>ROUND(SUMIF(上期ETY!D:D,B199,上期ETY!F:F),2)</f>
        <v>0</v>
      </c>
      <c r="G199" s="1">
        <f>ROUND(SUMIF(上期ETY!D:D,B199,上期ETY!G:G),2)</f>
        <v>0</v>
      </c>
      <c r="H199" s="114">
        <f t="shared" si="38"/>
        <v>0</v>
      </c>
      <c r="I199" s="18" t="s">
        <v>1157</v>
      </c>
    </row>
    <row r="200" spans="1:9">
      <c r="A200" s="122" t="s">
        <v>1158</v>
      </c>
      <c r="B200" s="112" t="s">
        <v>1159</v>
      </c>
      <c r="C200" s="127"/>
      <c r="D200" s="127"/>
      <c r="E200" s="113"/>
      <c r="F200" s="1">
        <f>ROUND(SUMIF(上期ETY!D:D,B200,上期ETY!F:F),2)</f>
        <v>0</v>
      </c>
      <c r="G200" s="1">
        <f>ROUND(SUMIF(上期ETY!D:D,B200,上期ETY!G:G),2)</f>
        <v>0</v>
      </c>
      <c r="H200" s="114">
        <f t="shared" si="38"/>
        <v>0</v>
      </c>
      <c r="I200" s="18" t="s">
        <v>779</v>
      </c>
    </row>
    <row r="201" spans="1:9">
      <c r="A201" s="122" t="s">
        <v>1160</v>
      </c>
      <c r="B201" s="112" t="s">
        <v>1161</v>
      </c>
      <c r="C201" s="127"/>
      <c r="D201" s="127"/>
      <c r="E201" s="113"/>
      <c r="F201" s="1">
        <f>ROUND(SUMIF(上期ETY!D:D,B201,上期ETY!F:F),2)</f>
        <v>0</v>
      </c>
      <c r="G201" s="1">
        <f>ROUND(SUMIF(上期ETY!D:D,B201,上期ETY!G:G),2)</f>
        <v>0</v>
      </c>
      <c r="H201" s="114">
        <f t="shared" si="38"/>
        <v>0</v>
      </c>
      <c r="I201" s="18" t="s">
        <v>780</v>
      </c>
    </row>
    <row r="202" spans="1:9">
      <c r="A202" s="122" t="s">
        <v>1162</v>
      </c>
      <c r="B202" s="112" t="s">
        <v>1163</v>
      </c>
      <c r="C202" s="127"/>
      <c r="D202" s="127"/>
      <c r="E202" s="110"/>
      <c r="F202" s="1">
        <f>ROUND(SUMIF(上期ETY!D:D,B202,上期ETY!F:F),2)</f>
        <v>0</v>
      </c>
      <c r="G202" s="1">
        <f>ROUND(SUMIF(上期ETY!D:D,B202,上期ETY!G:G),2)</f>
        <v>0</v>
      </c>
      <c r="H202" s="114">
        <f t="shared" si="38"/>
        <v>0</v>
      </c>
      <c r="I202" s="18" t="s">
        <v>1164</v>
      </c>
    </row>
    <row r="203" spans="1:9">
      <c r="A203" s="121" t="s">
        <v>1165</v>
      </c>
      <c r="B203" s="112"/>
      <c r="C203" s="127"/>
      <c r="D203" s="127"/>
      <c r="E203" s="127">
        <f>E170-E177+E193+E194+E202+E197+E198+E201+E199+E200</f>
        <v>0</v>
      </c>
      <c r="F203" s="127">
        <f>F170-F177+F193+F194+F202+F197+F198+F201+F199+F200</f>
        <v>0</v>
      </c>
      <c r="G203" s="127">
        <f>G170-G177+G193+G194+G202+G197+G198+G201+G199+G200</f>
        <v>0</v>
      </c>
      <c r="H203" s="127">
        <f>H170-H177+H193+H194+H202+H197+H198+H201+H199+H200</f>
        <v>0</v>
      </c>
    </row>
    <row r="204" spans="1:9">
      <c r="A204" s="122" t="s">
        <v>1166</v>
      </c>
      <c r="B204" s="112" t="s">
        <v>1167</v>
      </c>
      <c r="C204" s="127"/>
      <c r="D204" s="127"/>
      <c r="E204" s="113"/>
      <c r="F204" s="1">
        <f>ROUND(SUMIF(上期ETY!D:D,B204,上期ETY!F:F),2)</f>
        <v>0</v>
      </c>
      <c r="G204" s="1">
        <f>ROUND(SUMIF(上期ETY!D:D,B204,上期ETY!G:G),2)</f>
        <v>0</v>
      </c>
      <c r="H204" s="114">
        <f t="shared" si="38"/>
        <v>0</v>
      </c>
      <c r="I204" s="18" t="s">
        <v>772</v>
      </c>
    </row>
    <row r="205" spans="1:9">
      <c r="A205" s="122" t="s">
        <v>1168</v>
      </c>
      <c r="B205" s="112" t="s">
        <v>1169</v>
      </c>
      <c r="C205" s="127"/>
      <c r="D205" s="127"/>
      <c r="E205" s="113"/>
      <c r="F205" s="1">
        <f>ROUND(SUMIF(上期ETY!D:D,B205,上期ETY!F:F),2)</f>
        <v>0</v>
      </c>
      <c r="G205" s="1">
        <f>ROUND(SUMIF(上期ETY!D:D,B205,上期ETY!G:G),2)</f>
        <v>0</v>
      </c>
      <c r="H205" s="114">
        <f t="shared" ref="H205" si="39">ROUND(E205+F205-G205,2)</f>
        <v>0</v>
      </c>
      <c r="I205" s="18" t="s">
        <v>781</v>
      </c>
    </row>
    <row r="206" spans="1:9">
      <c r="A206" s="121" t="s">
        <v>1170</v>
      </c>
      <c r="B206" s="112"/>
      <c r="C206" s="127"/>
      <c r="D206" s="127"/>
      <c r="E206" s="127">
        <f t="shared" ref="E206:H206" si="40">E203+E204-E205</f>
        <v>0</v>
      </c>
      <c r="F206" s="127">
        <f t="shared" si="40"/>
        <v>0</v>
      </c>
      <c r="G206" s="127">
        <f t="shared" si="40"/>
        <v>0</v>
      </c>
      <c r="H206" s="127">
        <f t="shared" si="40"/>
        <v>0</v>
      </c>
    </row>
    <row r="207" spans="1:9">
      <c r="A207" s="122" t="s">
        <v>1171</v>
      </c>
      <c r="B207" s="112" t="s">
        <v>87</v>
      </c>
      <c r="C207" s="127"/>
      <c r="D207" s="127"/>
      <c r="E207" s="113"/>
      <c r="F207" s="1">
        <f>ROUND(SUMIF(上期ETY!D:D,B207,上期ETY!F:F),2)</f>
        <v>0</v>
      </c>
      <c r="G207" s="1">
        <f>ROUND(SUMIF(上期ETY!D:D,B207,上期ETY!G:G),2)</f>
        <v>0</v>
      </c>
      <c r="H207" s="114">
        <f t="shared" ref="H207" si="41">ROUND(E207+F207-G207,2)</f>
        <v>0</v>
      </c>
      <c r="I207" s="18" t="s">
        <v>698</v>
      </c>
    </row>
    <row r="208" spans="1:9">
      <c r="A208" s="121" t="s">
        <v>1172</v>
      </c>
      <c r="B208" s="112"/>
      <c r="C208" s="129"/>
      <c r="D208" s="129"/>
      <c r="E208" s="129">
        <f>E206-E207</f>
        <v>0</v>
      </c>
      <c r="F208" s="129"/>
      <c r="G208" s="129"/>
      <c r="H208" s="129">
        <f t="shared" ref="H208" si="42">H206-H207</f>
        <v>0</v>
      </c>
    </row>
    <row r="209" spans="1:9">
      <c r="A209" s="123" t="s">
        <v>1173</v>
      </c>
      <c r="B209" s="112"/>
      <c r="C209" s="127"/>
      <c r="D209" s="127"/>
      <c r="E209" s="126"/>
    </row>
    <row r="210" spans="1:9">
      <c r="A210" s="122" t="s">
        <v>1174</v>
      </c>
      <c r="B210" s="112"/>
      <c r="C210" s="127"/>
      <c r="D210" s="127"/>
      <c r="E210" s="126"/>
    </row>
    <row r="211" spans="1:9">
      <c r="A211" s="122" t="s">
        <v>1175</v>
      </c>
      <c r="B211" s="112"/>
      <c r="C211" s="127"/>
      <c r="D211" s="127"/>
      <c r="E211" s="126"/>
    </row>
    <row r="212" spans="1:9">
      <c r="A212" s="123" t="s">
        <v>1176</v>
      </c>
      <c r="B212" s="112"/>
      <c r="C212" s="127"/>
      <c r="D212" s="127"/>
      <c r="E212" s="126"/>
    </row>
    <row r="213" spans="1:9">
      <c r="A213" s="122" t="s">
        <v>1177</v>
      </c>
      <c r="B213" s="112" t="s">
        <v>1178</v>
      </c>
      <c r="C213" s="127"/>
      <c r="D213" s="127"/>
      <c r="E213" s="126">
        <f>E208-E214</f>
        <v>0</v>
      </c>
      <c r="F213" s="1">
        <f>ROUND(SUMIF(上期ETY!D:D,B213,上期ETY!F:F),2)</f>
        <v>0</v>
      </c>
      <c r="G213" s="1">
        <f>ROUND(SUMIF(上期ETY!D:D,B213,上期ETY!G:G),2)</f>
        <v>0</v>
      </c>
      <c r="H213" s="1">
        <f>H208-H214</f>
        <v>0</v>
      </c>
      <c r="I213" s="18" t="s">
        <v>1178</v>
      </c>
    </row>
    <row r="214" spans="1:9">
      <c r="A214" s="122" t="s">
        <v>1179</v>
      </c>
      <c r="B214" s="112" t="s">
        <v>1180</v>
      </c>
      <c r="C214" s="127"/>
      <c r="D214" s="127"/>
      <c r="E214" s="127"/>
      <c r="F214" s="127">
        <f t="shared" ref="F214:G214" si="43">F208-F213</f>
        <v>0</v>
      </c>
      <c r="G214" s="127">
        <f t="shared" si="43"/>
        <v>0</v>
      </c>
      <c r="H214" s="114">
        <f t="shared" ref="H214" si="44">ROUND(E214+F214-G214,2)</f>
        <v>0</v>
      </c>
      <c r="I214" s="18" t="s">
        <v>1180</v>
      </c>
    </row>
    <row r="215" spans="1:9">
      <c r="A215" s="124" t="s">
        <v>1181</v>
      </c>
      <c r="B215" s="112"/>
      <c r="C215" s="129"/>
      <c r="D215" s="129"/>
      <c r="E215" s="129">
        <f>E216+E233</f>
        <v>0</v>
      </c>
      <c r="F215" s="129">
        <f t="shared" ref="F215:H215" si="45">F216+F233</f>
        <v>0</v>
      </c>
      <c r="G215" s="129">
        <f t="shared" si="45"/>
        <v>0</v>
      </c>
      <c r="H215" s="129">
        <f t="shared" si="45"/>
        <v>0</v>
      </c>
    </row>
    <row r="216" spans="1:9">
      <c r="A216" s="123" t="s">
        <v>1182</v>
      </c>
      <c r="B216" s="112"/>
      <c r="C216" s="127"/>
      <c r="D216" s="127"/>
      <c r="E216" s="127">
        <f t="shared" ref="E216:H216" si="46">E217+E223</f>
        <v>0</v>
      </c>
      <c r="F216" s="127">
        <f t="shared" si="46"/>
        <v>0</v>
      </c>
      <c r="G216" s="127">
        <f t="shared" si="46"/>
        <v>0</v>
      </c>
      <c r="H216" s="127">
        <f t="shared" si="46"/>
        <v>0</v>
      </c>
    </row>
    <row r="217" spans="1:9">
      <c r="A217" s="123" t="s">
        <v>1183</v>
      </c>
      <c r="B217" s="112"/>
      <c r="C217" s="127"/>
      <c r="D217" s="127"/>
      <c r="E217" s="127">
        <f t="shared" ref="E217:H217" si="47">E218+E219+E220+E221+E222</f>
        <v>0</v>
      </c>
      <c r="F217" s="127">
        <f t="shared" si="47"/>
        <v>0</v>
      </c>
      <c r="G217" s="127">
        <f t="shared" si="47"/>
        <v>0</v>
      </c>
      <c r="H217" s="127">
        <f t="shared" si="47"/>
        <v>0</v>
      </c>
    </row>
    <row r="218" spans="1:9">
      <c r="A218" s="123" t="s">
        <v>1184</v>
      </c>
      <c r="B218" s="112"/>
      <c r="C218" s="127"/>
      <c r="D218" s="127"/>
      <c r="E218" s="126"/>
      <c r="H218" s="114">
        <f t="shared" ref="H218:H222" si="48">ROUND(E218+F218-G218,2)</f>
        <v>0</v>
      </c>
    </row>
    <row r="219" spans="1:9">
      <c r="A219" s="123" t="s">
        <v>1185</v>
      </c>
      <c r="B219" s="112"/>
      <c r="C219" s="127"/>
      <c r="D219" s="127"/>
      <c r="E219" s="126"/>
      <c r="H219" s="114">
        <f t="shared" si="48"/>
        <v>0</v>
      </c>
    </row>
    <row r="220" spans="1:9">
      <c r="A220" s="123" t="s">
        <v>1186</v>
      </c>
      <c r="B220" s="112"/>
      <c r="C220" s="127"/>
      <c r="D220" s="127"/>
      <c r="E220" s="126"/>
      <c r="H220" s="114">
        <f t="shared" si="48"/>
        <v>0</v>
      </c>
    </row>
    <row r="221" spans="1:9">
      <c r="A221" s="123" t="s">
        <v>1187</v>
      </c>
      <c r="B221" s="112"/>
      <c r="C221" s="127"/>
      <c r="D221" s="127"/>
      <c r="E221" s="126"/>
      <c r="H221" s="114">
        <f t="shared" si="48"/>
        <v>0</v>
      </c>
    </row>
    <row r="222" spans="1:9">
      <c r="A222" s="123" t="s">
        <v>1188</v>
      </c>
      <c r="B222" s="112"/>
      <c r="C222" s="127"/>
      <c r="D222" s="127"/>
      <c r="E222" s="126"/>
      <c r="H222" s="114">
        <f t="shared" si="48"/>
        <v>0</v>
      </c>
    </row>
    <row r="223" spans="1:9">
      <c r="A223" s="123" t="s">
        <v>1189</v>
      </c>
      <c r="B223" s="112"/>
      <c r="C223" s="127"/>
      <c r="D223" s="127"/>
      <c r="E223" s="127">
        <f>SUM(E224:E232)</f>
        <v>0</v>
      </c>
      <c r="F223" s="127">
        <f t="shared" ref="F223:H223" si="49">SUM(F224:F232)</f>
        <v>0</v>
      </c>
      <c r="G223" s="127">
        <f t="shared" si="49"/>
        <v>0</v>
      </c>
      <c r="H223" s="127">
        <f t="shared" si="49"/>
        <v>0</v>
      </c>
    </row>
    <row r="224" spans="1:9">
      <c r="A224" s="123" t="s">
        <v>1190</v>
      </c>
      <c r="B224" s="112"/>
      <c r="C224" s="127"/>
      <c r="D224" s="127"/>
      <c r="E224" s="126"/>
      <c r="H224" s="114">
        <f t="shared" ref="H224:H233" si="50">ROUND(E224+F224-G224,2)</f>
        <v>0</v>
      </c>
    </row>
    <row r="225" spans="1:9">
      <c r="A225" s="123" t="s">
        <v>1191</v>
      </c>
      <c r="B225" s="112"/>
      <c r="C225" s="127"/>
      <c r="D225" s="127"/>
      <c r="E225" s="126"/>
      <c r="H225" s="114">
        <f t="shared" si="50"/>
        <v>0</v>
      </c>
    </row>
    <row r="226" spans="1:9">
      <c r="A226" s="123" t="s">
        <v>1192</v>
      </c>
      <c r="B226" s="112"/>
      <c r="C226" s="130" t="s">
        <v>825</v>
      </c>
      <c r="D226" s="130"/>
      <c r="E226" s="126"/>
      <c r="H226" s="114">
        <f t="shared" si="50"/>
        <v>0</v>
      </c>
    </row>
    <row r="227" spans="1:9">
      <c r="A227" s="123" t="s">
        <v>1193</v>
      </c>
      <c r="B227" s="112"/>
      <c r="C227" s="127"/>
      <c r="D227" s="127"/>
      <c r="E227" s="126"/>
      <c r="H227" s="114">
        <f t="shared" si="50"/>
        <v>0</v>
      </c>
    </row>
    <row r="228" spans="1:9">
      <c r="A228" s="123" t="s">
        <v>1194</v>
      </c>
      <c r="B228" s="112"/>
      <c r="C228" s="130" t="s">
        <v>825</v>
      </c>
      <c r="D228" s="130"/>
      <c r="E228" s="126"/>
      <c r="H228" s="114">
        <f t="shared" si="50"/>
        <v>0</v>
      </c>
    </row>
    <row r="229" spans="1:9">
      <c r="A229" s="123" t="s">
        <v>1195</v>
      </c>
      <c r="B229" s="112"/>
      <c r="C229" s="127"/>
      <c r="D229" s="127"/>
      <c r="E229" s="126"/>
      <c r="H229" s="114">
        <f t="shared" si="50"/>
        <v>0</v>
      </c>
    </row>
    <row r="230" spans="1:9">
      <c r="A230" s="123" t="s">
        <v>1196</v>
      </c>
      <c r="B230" s="112"/>
      <c r="C230" s="127"/>
      <c r="D230" s="127"/>
      <c r="E230" s="126"/>
      <c r="H230" s="114">
        <f t="shared" si="50"/>
        <v>0</v>
      </c>
    </row>
    <row r="231" spans="1:9">
      <c r="A231" s="123" t="s">
        <v>1197</v>
      </c>
      <c r="B231" s="112"/>
      <c r="C231" s="127"/>
      <c r="D231" s="127"/>
      <c r="E231" s="126"/>
      <c r="H231" s="114">
        <f t="shared" si="50"/>
        <v>0</v>
      </c>
    </row>
    <row r="232" spans="1:9">
      <c r="A232" s="123" t="s">
        <v>1198</v>
      </c>
      <c r="B232" s="112"/>
      <c r="C232" s="127"/>
      <c r="D232" s="127"/>
      <c r="E232" s="126"/>
      <c r="H232" s="114">
        <f t="shared" si="50"/>
        <v>0</v>
      </c>
    </row>
    <row r="233" spans="1:9">
      <c r="A233" s="123" t="s">
        <v>1199</v>
      </c>
      <c r="B233" s="112"/>
      <c r="C233" s="127"/>
      <c r="D233" s="127"/>
      <c r="E233" s="126"/>
      <c r="H233" s="114">
        <f t="shared" si="50"/>
        <v>0</v>
      </c>
    </row>
    <row r="234" spans="1:9">
      <c r="A234" s="124" t="s">
        <v>1200</v>
      </c>
      <c r="B234" s="112"/>
      <c r="C234" s="129"/>
      <c r="D234" s="129"/>
      <c r="E234" s="129">
        <f t="shared" ref="E234:H234" si="51">E208+E215</f>
        <v>0</v>
      </c>
      <c r="F234" s="129">
        <f t="shared" si="51"/>
        <v>0</v>
      </c>
      <c r="G234" s="129">
        <f t="shared" si="51"/>
        <v>0</v>
      </c>
      <c r="H234" s="129">
        <f t="shared" si="51"/>
        <v>0</v>
      </c>
    </row>
    <row r="235" spans="1:9">
      <c r="A235" s="122" t="s">
        <v>1201</v>
      </c>
      <c r="B235" s="112"/>
      <c r="C235" s="127"/>
      <c r="D235" s="127"/>
      <c r="E235" s="127">
        <f>E213+E216</f>
        <v>0</v>
      </c>
      <c r="F235" s="127">
        <f t="shared" ref="F235:H235" si="52">F213+F216</f>
        <v>0</v>
      </c>
      <c r="G235" s="127">
        <f t="shared" si="52"/>
        <v>0</v>
      </c>
      <c r="H235" s="127">
        <f t="shared" si="52"/>
        <v>0</v>
      </c>
    </row>
    <row r="236" spans="1:9">
      <c r="A236" s="122" t="s">
        <v>1202</v>
      </c>
      <c r="B236" s="112"/>
      <c r="C236" s="127"/>
      <c r="D236" s="127"/>
      <c r="E236" s="127">
        <f t="shared" ref="E236:H236" si="53">E214+E233</f>
        <v>0</v>
      </c>
      <c r="F236" s="127">
        <f t="shared" si="53"/>
        <v>0</v>
      </c>
      <c r="G236" s="127">
        <f t="shared" si="53"/>
        <v>0</v>
      </c>
      <c r="H236" s="127">
        <f t="shared" si="53"/>
        <v>0</v>
      </c>
    </row>
    <row r="237" spans="1:9">
      <c r="A237" s="124" t="s">
        <v>1203</v>
      </c>
      <c r="B237" s="112"/>
      <c r="C237" s="129"/>
      <c r="D237" s="129"/>
      <c r="E237" s="126"/>
    </row>
    <row r="238" spans="1:9">
      <c r="A238" s="122" t="s">
        <v>1204</v>
      </c>
      <c r="B238" s="112"/>
      <c r="C238" s="129"/>
      <c r="D238" s="129"/>
      <c r="E238" s="126"/>
    </row>
    <row r="239" spans="1:9">
      <c r="A239" s="122" t="s">
        <v>1205</v>
      </c>
      <c r="B239" s="112"/>
      <c r="C239" s="129"/>
      <c r="D239" s="129"/>
      <c r="E239" s="126"/>
    </row>
    <row r="240" spans="1:9">
      <c r="A240" s="123" t="s">
        <v>1206</v>
      </c>
      <c r="B240" s="112" t="s">
        <v>1207</v>
      </c>
      <c r="C240" s="129"/>
      <c r="D240" s="129"/>
      <c r="E240" s="131"/>
      <c r="F240" s="1">
        <f>ROUND(SUMIF(上期ETY!D:D,B240,上期ETY!F:F),2)</f>
        <v>0</v>
      </c>
      <c r="G240" s="1">
        <f>ROUND(SUMIF(上期ETY!D:D,B240,上期ETY!G:G),2)</f>
        <v>0</v>
      </c>
      <c r="H240" s="114">
        <f>ROUND(E240-F240+G240,2)</f>
        <v>0</v>
      </c>
      <c r="I240" s="18" t="s">
        <v>1210</v>
      </c>
    </row>
    <row r="241" spans="1:8">
      <c r="A241" s="123" t="s">
        <v>1208</v>
      </c>
      <c r="B241" s="112" t="s">
        <v>1208</v>
      </c>
      <c r="C241" s="129"/>
      <c r="D241" s="129"/>
      <c r="E241" s="132"/>
      <c r="F241" s="1">
        <f>ROUND(SUMIF(上期ETY!D:D,B241,上期ETY!F:F),2)</f>
        <v>0</v>
      </c>
      <c r="G241" s="1">
        <f>ROUND(SUMIF(上期ETY!D:D,B241,上期ETY!G:G),2)</f>
        <v>0</v>
      </c>
      <c r="H241" s="114">
        <f>ROUND(E241-F241+G241,2)</f>
        <v>0</v>
      </c>
    </row>
    <row r="242" spans="1:8">
      <c r="A242" s="122" t="s">
        <v>1209</v>
      </c>
      <c r="E242" s="110">
        <f>E240+E241</f>
        <v>0</v>
      </c>
      <c r="F242" s="1">
        <f>ROUND(SUMIF(上期ETY!D:D,B242,上期ETY!F:F),2)</f>
        <v>0</v>
      </c>
      <c r="G242" s="1">
        <f>ROUND(SUMIF(上期ETY!D:D,B242,上期ETY!G:G),2)</f>
        <v>0</v>
      </c>
      <c r="H242" s="114">
        <f>H240+H241</f>
        <v>0</v>
      </c>
    </row>
    <row r="243" spans="1:8">
      <c r="A243" s="124" t="s">
        <v>1211</v>
      </c>
      <c r="E243" s="133">
        <f>E242+E208</f>
        <v>0</v>
      </c>
      <c r="F243" s="133">
        <f>F242+F208</f>
        <v>0</v>
      </c>
      <c r="G243" s="133">
        <f>G242+G208</f>
        <v>0</v>
      </c>
      <c r="H243" s="133">
        <f>H242+H213</f>
        <v>0</v>
      </c>
    </row>
    <row r="244" spans="1:8">
      <c r="A244" s="122" t="s">
        <v>1212</v>
      </c>
      <c r="B244" s="18" t="s">
        <v>1213</v>
      </c>
      <c r="E244" s="134"/>
      <c r="F244" s="1">
        <f>ROUND(SUMIF(上期ETY!D:D,B244,上期ETY!F:F),2)</f>
        <v>0</v>
      </c>
      <c r="G244" s="1">
        <f>ROUND(SUMIF(上期ETY!D:D,B244,上期ETY!G:G),2)</f>
        <v>0</v>
      </c>
      <c r="H244" s="114">
        <f t="shared" ref="H244:H249" si="54">ROUND(E244+F244-G244,2)</f>
        <v>0</v>
      </c>
    </row>
    <row r="245" spans="1:8">
      <c r="A245" s="122" t="s">
        <v>1214</v>
      </c>
      <c r="B245" s="18" t="s">
        <v>1215</v>
      </c>
      <c r="E245" s="134"/>
      <c r="F245" s="1">
        <f>ROUND(SUMIF(上期ETY!D:D,B245,上期ETY!F:F),2)</f>
        <v>0</v>
      </c>
      <c r="G245" s="1">
        <f>ROUND(SUMIF(上期ETY!D:D,B245,上期ETY!G:G),2)</f>
        <v>0</v>
      </c>
      <c r="H245" s="114">
        <f t="shared" si="54"/>
        <v>0</v>
      </c>
    </row>
    <row r="246" spans="1:8">
      <c r="A246" s="122" t="s">
        <v>1216</v>
      </c>
      <c r="B246" s="18" t="s">
        <v>1217</v>
      </c>
      <c r="E246" s="134"/>
      <c r="F246" s="1">
        <f>ROUND(SUMIF(上期ETY!D:D,B246,上期ETY!F:F),2)</f>
        <v>0</v>
      </c>
      <c r="G246" s="1">
        <f>ROUND(SUMIF(上期ETY!D:D,B246,上期ETY!G:G),2)</f>
        <v>0</v>
      </c>
      <c r="H246" s="114">
        <f t="shared" si="54"/>
        <v>0</v>
      </c>
    </row>
    <row r="247" spans="1:8">
      <c r="A247" s="122" t="s">
        <v>1218</v>
      </c>
      <c r="B247" s="18" t="s">
        <v>1219</v>
      </c>
      <c r="E247" s="134"/>
      <c r="F247" s="1">
        <f>ROUND(SUMIF(上期ETY!D:D,B247,上期ETY!F:F),2)</f>
        <v>0</v>
      </c>
      <c r="G247" s="1">
        <f>ROUND(SUMIF(上期ETY!D:D,B247,上期ETY!G:G),2)</f>
        <v>0</v>
      </c>
      <c r="H247" s="114">
        <f t="shared" si="54"/>
        <v>0</v>
      </c>
    </row>
    <row r="248" spans="1:8">
      <c r="A248" s="122" t="s">
        <v>1220</v>
      </c>
      <c r="B248" s="18" t="s">
        <v>1221</v>
      </c>
      <c r="E248" s="134"/>
      <c r="F248" s="1">
        <f>ROUND(SUMIF(上期ETY!D:D,B248,上期ETY!F:F),2)</f>
        <v>0</v>
      </c>
      <c r="G248" s="1">
        <f>ROUND(SUMIF(上期ETY!D:D,B248,上期ETY!G:G),2)</f>
        <v>0</v>
      </c>
      <c r="H248" s="114">
        <f t="shared" si="54"/>
        <v>0</v>
      </c>
    </row>
    <row r="249" spans="1:8">
      <c r="A249" s="122" t="s">
        <v>1222</v>
      </c>
      <c r="B249" s="18" t="s">
        <v>1223</v>
      </c>
      <c r="E249" s="134"/>
      <c r="F249" s="1">
        <f>ROUND(SUMIF(上期ETY!D:D,B249,上期ETY!F:F),2)</f>
        <v>0</v>
      </c>
      <c r="G249" s="1">
        <f>ROUND(SUMIF(上期ETY!D:D,B249,上期ETY!G:G),2)</f>
        <v>0</v>
      </c>
      <c r="H249" s="114">
        <f t="shared" si="54"/>
        <v>0</v>
      </c>
    </row>
    <row r="250" spans="1:8">
      <c r="A250" s="124" t="s">
        <v>1224</v>
      </c>
      <c r="E250" s="133">
        <f>E243-SUM(E244:E249)</f>
        <v>0</v>
      </c>
      <c r="F250" s="133">
        <f t="shared" ref="F250:H250" si="55">F243-SUM(F244:F249)</f>
        <v>0</v>
      </c>
      <c r="G250" s="133">
        <f t="shared" si="55"/>
        <v>0</v>
      </c>
      <c r="H250" s="133">
        <f t="shared" si="55"/>
        <v>0</v>
      </c>
    </row>
    <row r="251" spans="1:8">
      <c r="A251" s="122" t="s">
        <v>1225</v>
      </c>
      <c r="B251" s="18" t="s">
        <v>1226</v>
      </c>
      <c r="E251" s="134"/>
      <c r="F251" s="1">
        <f>ROUND(SUMIF(上期ETY!D:D,B251,上期ETY!F:F),2)</f>
        <v>0</v>
      </c>
      <c r="G251" s="1">
        <f>ROUND(SUMIF(上期ETY!D:D,B251,上期ETY!G:G),2)</f>
        <v>0</v>
      </c>
      <c r="H251" s="114">
        <f t="shared" ref="H251:H254" si="56">ROUND(E251+F251-G251,2)</f>
        <v>0</v>
      </c>
    </row>
    <row r="252" spans="1:8">
      <c r="A252" s="122" t="s">
        <v>1227</v>
      </c>
      <c r="B252" s="18" t="s">
        <v>1228</v>
      </c>
      <c r="E252" s="134"/>
      <c r="F252" s="1">
        <f>ROUND(SUMIF(上期ETY!D:D,B252,上期ETY!F:F),2)</f>
        <v>0</v>
      </c>
      <c r="G252" s="1">
        <f>ROUND(SUMIF(上期ETY!D:D,B252,上期ETY!G:G),2)</f>
        <v>0</v>
      </c>
      <c r="H252" s="114">
        <f t="shared" si="56"/>
        <v>0</v>
      </c>
    </row>
    <row r="253" spans="1:8">
      <c r="A253" s="122" t="s">
        <v>1229</v>
      </c>
      <c r="B253" s="18" t="s">
        <v>1230</v>
      </c>
      <c r="E253" s="135"/>
      <c r="F253" s="1">
        <f>ROUND(SUMIF(上期ETY!D:D,B253,上期ETY!F:F),2)</f>
        <v>0</v>
      </c>
      <c r="G253" s="1">
        <f>ROUND(SUMIF(上期ETY!D:D,B253,上期ETY!G:G),2)</f>
        <v>0</v>
      </c>
      <c r="H253" s="114">
        <f t="shared" si="56"/>
        <v>0</v>
      </c>
    </row>
    <row r="254" spans="1:8">
      <c r="A254" s="122" t="s">
        <v>1231</v>
      </c>
      <c r="B254" s="18" t="s">
        <v>1232</v>
      </c>
      <c r="E254" s="135"/>
      <c r="F254" s="1">
        <f>ROUND(SUMIF(上期ETY!D:D,B254,上期ETY!F:F),2)</f>
        <v>0</v>
      </c>
      <c r="G254" s="1">
        <f>ROUND(SUMIF(上期ETY!D:D,B254,上期ETY!G:G),2)</f>
        <v>0</v>
      </c>
      <c r="H254" s="114">
        <f t="shared" si="56"/>
        <v>0</v>
      </c>
    </row>
    <row r="255" spans="1:8">
      <c r="A255" s="124" t="s">
        <v>1233</v>
      </c>
      <c r="E255" s="133">
        <f>E250-SUM(E251:E254)</f>
        <v>0</v>
      </c>
      <c r="F255" s="133">
        <f t="shared" ref="F255:H255" si="57">F250-SUM(F251:F254)</f>
        <v>0</v>
      </c>
      <c r="G255" s="133">
        <f t="shared" si="57"/>
        <v>0</v>
      </c>
      <c r="H255" s="133">
        <f t="shared" si="57"/>
        <v>0</v>
      </c>
    </row>
    <row r="256" spans="1:8">
      <c r="A256" s="122" t="s">
        <v>1234</v>
      </c>
      <c r="E256" s="133">
        <f>E169-E108</f>
        <v>0</v>
      </c>
      <c r="H256" s="133">
        <f>H169-H108</f>
        <v>0</v>
      </c>
    </row>
    <row r="257" spans="1:8">
      <c r="A257" s="122" t="s">
        <v>1235</v>
      </c>
      <c r="H257" s="133"/>
    </row>
    <row r="259" spans="1:8">
      <c r="E259" s="1"/>
    </row>
    <row r="260" spans="1:8">
      <c r="E260" s="133"/>
    </row>
  </sheetData>
  <phoneticPr fontId="1" type="noConversion"/>
  <conditionalFormatting sqref="I71:L71">
    <cfRule type="uniqueValues" dxfId="5" priority="5"/>
    <cfRule type="uniqueValues" dxfId="4" priority="6"/>
  </conditionalFormatting>
  <conditionalFormatting sqref="I68:L68 K69 I69:I70">
    <cfRule type="uniqueValues" dxfId="3" priority="3"/>
    <cfRule type="uniqueValues" dxfId="2" priority="4"/>
  </conditionalFormatting>
  <conditionalFormatting sqref="K70">
    <cfRule type="uniqueValues" dxfId="1" priority="1"/>
    <cfRule type="uniqueValues" dxfId="0" priority="2"/>
  </conditionalFormatting>
  <pageMargins left="0.7" right="0.7" top="0.75" bottom="0.75" header="0.3" footer="0.3"/>
  <pageSetup paperSize="9" scale="41" orientation="portrait" horizontalDpi="4294967293" verticalDpi="0" r:id="rId1"/>
  <rowBreaks count="1" manualBreakCount="1">
    <brk id="130" max="7" man="1"/>
  </rowBreak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sheetPr codeName="Sheet98"/>
  <dimension ref="A1:AI353"/>
  <sheetViews>
    <sheetView workbookViewId="0">
      <pane xSplit="2" ySplit="1" topLeftCell="C2" activePane="bottomRight" state="frozen"/>
      <selection activeCell="D22" sqref="D22"/>
      <selection pane="topRight" activeCell="D22" sqref="D22"/>
      <selection pane="bottomLeft" activeCell="D22" sqref="D22"/>
      <selection pane="bottomRight" activeCell="E19" sqref="E19"/>
    </sheetView>
  </sheetViews>
  <sheetFormatPr defaultRowHeight="13.8"/>
  <cols>
    <col min="1" max="1" width="9.5546875" bestFit="1" customWidth="1"/>
    <col min="2" max="2" width="40.21875" bestFit="1" customWidth="1"/>
    <col min="3" max="3" width="18.33203125" bestFit="1" customWidth="1"/>
    <col min="4" max="5" width="13.88671875" bestFit="1" customWidth="1"/>
    <col min="6" max="6" width="9.5546875" bestFit="1" customWidth="1"/>
    <col min="7" max="7" width="16.109375"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5" s="236" customFormat="1" ht="40.799999999999997">
      <c r="A1" s="270" t="s">
        <v>1976</v>
      </c>
      <c r="B1" s="270" t="s">
        <v>2345</v>
      </c>
      <c r="C1" s="587" t="s">
        <v>2151</v>
      </c>
      <c r="D1" s="587" t="s">
        <v>2346</v>
      </c>
      <c r="E1" s="587" t="s">
        <v>2347</v>
      </c>
      <c r="F1" s="587" t="s">
        <v>2348</v>
      </c>
      <c r="G1" s="587" t="s">
        <v>1685</v>
      </c>
      <c r="H1" s="588" t="s">
        <v>3337</v>
      </c>
      <c r="I1" s="589" t="s">
        <v>3689</v>
      </c>
      <c r="J1" s="587" t="s">
        <v>3690</v>
      </c>
      <c r="K1" s="587" t="s">
        <v>3691</v>
      </c>
      <c r="L1" s="587" t="s">
        <v>3692</v>
      </c>
      <c r="M1" s="587" t="s">
        <v>3693</v>
      </c>
      <c r="N1" s="587" t="s">
        <v>3694</v>
      </c>
      <c r="O1" s="587" t="s">
        <v>219</v>
      </c>
      <c r="P1" s="587" t="s">
        <v>2349</v>
      </c>
      <c r="Q1" s="587" t="s">
        <v>2350</v>
      </c>
      <c r="R1" s="587" t="s">
        <v>2353</v>
      </c>
      <c r="S1" s="588" t="s">
        <v>215</v>
      </c>
      <c r="T1" s="590" t="s">
        <v>3695</v>
      </c>
      <c r="U1" s="587" t="s">
        <v>3696</v>
      </c>
      <c r="V1" s="587" t="s">
        <v>3697</v>
      </c>
      <c r="W1" s="587" t="s">
        <v>3698</v>
      </c>
      <c r="X1" s="587" t="s">
        <v>3699</v>
      </c>
      <c r="Y1" s="587" t="s">
        <v>3700</v>
      </c>
      <c r="Z1" s="587" t="s">
        <v>318</v>
      </c>
      <c r="AA1" s="590" t="s">
        <v>3701</v>
      </c>
      <c r="AB1" s="587" t="s">
        <v>3702</v>
      </c>
      <c r="AC1" s="587" t="s">
        <v>3703</v>
      </c>
      <c r="AD1" s="587" t="s">
        <v>3704</v>
      </c>
      <c r="AE1" s="587" t="s">
        <v>3705</v>
      </c>
      <c r="AF1" s="587" t="s">
        <v>3706</v>
      </c>
      <c r="AG1" s="587" t="s">
        <v>2351</v>
      </c>
      <c r="AH1" s="587" t="s">
        <v>3757</v>
      </c>
      <c r="AI1" s="587" t="s">
        <v>3758</v>
      </c>
    </row>
    <row r="2" spans="1:35">
      <c r="A2" t="str">
        <f>IF(ABS(H2)&gt;0,基础信息!$B$1,"")</f>
        <v/>
      </c>
      <c r="B2" s="255"/>
      <c r="C2" s="276"/>
      <c r="D2" s="255"/>
      <c r="E2" s="287"/>
      <c r="F2" s="255"/>
      <c r="G2" s="276"/>
      <c r="H2" s="229">
        <f>SUM(I2:N2)</f>
        <v>0</v>
      </c>
      <c r="I2" s="255"/>
      <c r="J2" s="255"/>
      <c r="K2" s="255"/>
      <c r="L2" s="255"/>
      <c r="M2" s="255"/>
      <c r="N2" s="255"/>
      <c r="O2" s="255"/>
      <c r="P2" s="255"/>
      <c r="Q2" s="255"/>
      <c r="R2" s="255"/>
      <c r="S2" s="229">
        <f>O2+P2-Q2-R2</f>
        <v>0</v>
      </c>
      <c r="T2" s="255"/>
      <c r="U2" s="255"/>
      <c r="V2" s="255"/>
      <c r="W2" s="255"/>
      <c r="X2" s="255"/>
      <c r="Y2" s="255"/>
      <c r="Z2" s="230">
        <f t="shared" ref="Z2:Z20" si="0">H2-S2</f>
        <v>0</v>
      </c>
      <c r="AA2" s="230">
        <f t="shared" ref="AA2:AA20" si="1">I2-T2</f>
        <v>0</v>
      </c>
      <c r="AB2" s="230">
        <f t="shared" ref="AB2:AB20" si="2">J2-U2</f>
        <v>0</v>
      </c>
      <c r="AC2" s="230">
        <f t="shared" ref="AC2:AC20" si="3">K2-V2</f>
        <v>0</v>
      </c>
      <c r="AD2" s="230">
        <f t="shared" ref="AD2:AD20" si="4">L2-W2</f>
        <v>0</v>
      </c>
      <c r="AE2" s="230">
        <f t="shared" ref="AE2:AE20" si="5">M2-X2</f>
        <v>0</v>
      </c>
      <c r="AF2" s="230">
        <f t="shared" ref="AF2:AF20" si="6">N2-Y2</f>
        <v>0</v>
      </c>
      <c r="AG2" s="230">
        <f>S2-SUM(T2:Y2)</f>
        <v>0</v>
      </c>
      <c r="AH2" s="255"/>
      <c r="AI2" s="255"/>
    </row>
    <row r="3" spans="1:35">
      <c r="A3" t="str">
        <f>IF(ABS(H3)&gt;0,基础信息!$B$1,"")</f>
        <v/>
      </c>
      <c r="B3" s="255"/>
      <c r="C3" s="276"/>
      <c r="D3" s="255"/>
      <c r="E3" s="287"/>
      <c r="F3" s="255"/>
      <c r="G3" s="276"/>
      <c r="H3" s="229">
        <f t="shared" ref="H3:H20" si="7">SUM(I3:N3)</f>
        <v>0</v>
      </c>
      <c r="I3" s="255"/>
      <c r="J3" s="255"/>
      <c r="K3" s="255"/>
      <c r="L3" s="255"/>
      <c r="M3" s="255"/>
      <c r="N3" s="255"/>
      <c r="O3" s="255"/>
      <c r="P3" s="255"/>
      <c r="Q3" s="255"/>
      <c r="R3" s="255"/>
      <c r="S3" s="229">
        <f t="shared" ref="S3:S20" si="8">O3+P3-Q3-R3</f>
        <v>0</v>
      </c>
      <c r="T3" s="255"/>
      <c r="U3" s="255"/>
      <c r="V3" s="255"/>
      <c r="W3" s="255"/>
      <c r="X3" s="255"/>
      <c r="Y3" s="255"/>
      <c r="Z3" s="230">
        <f t="shared" si="0"/>
        <v>0</v>
      </c>
      <c r="AA3" s="230">
        <f t="shared" si="1"/>
        <v>0</v>
      </c>
      <c r="AB3" s="230">
        <f t="shared" si="2"/>
        <v>0</v>
      </c>
      <c r="AC3" s="230">
        <f t="shared" si="3"/>
        <v>0</v>
      </c>
      <c r="AD3" s="230">
        <f t="shared" si="4"/>
        <v>0</v>
      </c>
      <c r="AE3" s="230">
        <f t="shared" si="5"/>
        <v>0</v>
      </c>
      <c r="AF3" s="230">
        <f t="shared" si="6"/>
        <v>0</v>
      </c>
      <c r="AG3" s="230">
        <f t="shared" ref="AG3:AG20" si="9">S3-SUM(T3:Y3)</f>
        <v>0</v>
      </c>
      <c r="AH3" s="255"/>
      <c r="AI3" s="255"/>
    </row>
    <row r="4" spans="1:35">
      <c r="A4" t="str">
        <f>IF(ABS(H4)&gt;0,基础信息!$B$1,"")</f>
        <v/>
      </c>
      <c r="B4" s="255"/>
      <c r="C4" s="276"/>
      <c r="D4" s="255"/>
      <c r="E4" s="287"/>
      <c r="F4" s="255"/>
      <c r="G4" s="276"/>
      <c r="H4" s="229">
        <f t="shared" si="7"/>
        <v>0</v>
      </c>
      <c r="I4" s="255"/>
      <c r="J4" s="255"/>
      <c r="K4" s="255"/>
      <c r="L4" s="255"/>
      <c r="M4" s="255"/>
      <c r="N4" s="255"/>
      <c r="O4" s="255"/>
      <c r="P4" s="255"/>
      <c r="Q4" s="255"/>
      <c r="R4" s="255"/>
      <c r="S4" s="229">
        <f t="shared" si="8"/>
        <v>0</v>
      </c>
      <c r="T4" s="255"/>
      <c r="U4" s="255"/>
      <c r="V4" s="255"/>
      <c r="W4" s="255"/>
      <c r="X4" s="255"/>
      <c r="Y4" s="255"/>
      <c r="Z4" s="230">
        <f t="shared" si="0"/>
        <v>0</v>
      </c>
      <c r="AA4" s="230">
        <f t="shared" si="1"/>
        <v>0</v>
      </c>
      <c r="AB4" s="230">
        <f t="shared" si="2"/>
        <v>0</v>
      </c>
      <c r="AC4" s="230">
        <f t="shared" si="3"/>
        <v>0</v>
      </c>
      <c r="AD4" s="230">
        <f t="shared" si="4"/>
        <v>0</v>
      </c>
      <c r="AE4" s="230">
        <f t="shared" si="5"/>
        <v>0</v>
      </c>
      <c r="AF4" s="230">
        <f t="shared" si="6"/>
        <v>0</v>
      </c>
      <c r="AG4" s="230">
        <f t="shared" si="9"/>
        <v>0</v>
      </c>
      <c r="AH4" s="255"/>
      <c r="AI4" s="255"/>
    </row>
    <row r="5" spans="1:35">
      <c r="A5" t="str">
        <f>IF(ABS(H5)&gt;0,基础信息!$B$1,"")</f>
        <v/>
      </c>
      <c r="B5" s="255"/>
      <c r="C5" s="276"/>
      <c r="D5" s="255"/>
      <c r="E5" s="287"/>
      <c r="F5" s="255"/>
      <c r="G5" s="276"/>
      <c r="H5" s="229">
        <f t="shared" si="7"/>
        <v>0</v>
      </c>
      <c r="I5" s="255"/>
      <c r="J5" s="255"/>
      <c r="K5" s="255"/>
      <c r="L5" s="255"/>
      <c r="M5" s="255"/>
      <c r="N5" s="255"/>
      <c r="O5" s="255"/>
      <c r="P5" s="255"/>
      <c r="Q5" s="255"/>
      <c r="R5" s="255"/>
      <c r="S5" s="229">
        <f t="shared" si="8"/>
        <v>0</v>
      </c>
      <c r="T5" s="255"/>
      <c r="U5" s="255"/>
      <c r="V5" s="255"/>
      <c r="W5" s="255"/>
      <c r="X5" s="255"/>
      <c r="Y5" s="255"/>
      <c r="Z5" s="230">
        <f t="shared" si="0"/>
        <v>0</v>
      </c>
      <c r="AA5" s="230">
        <f t="shared" si="1"/>
        <v>0</v>
      </c>
      <c r="AB5" s="230">
        <f t="shared" si="2"/>
        <v>0</v>
      </c>
      <c r="AC5" s="230">
        <f t="shared" si="3"/>
        <v>0</v>
      </c>
      <c r="AD5" s="230">
        <f t="shared" si="4"/>
        <v>0</v>
      </c>
      <c r="AE5" s="230">
        <f t="shared" si="5"/>
        <v>0</v>
      </c>
      <c r="AF5" s="230">
        <f t="shared" si="6"/>
        <v>0</v>
      </c>
      <c r="AG5" s="230">
        <f t="shared" si="9"/>
        <v>0</v>
      </c>
      <c r="AH5" s="255"/>
      <c r="AI5" s="255"/>
    </row>
    <row r="6" spans="1:35">
      <c r="A6" t="str">
        <f>IF(ABS(H6)&gt;0,基础信息!$B$1,"")</f>
        <v/>
      </c>
      <c r="B6" s="255"/>
      <c r="C6" s="276"/>
      <c r="D6" s="255"/>
      <c r="E6" s="287"/>
      <c r="F6" s="255"/>
      <c r="G6" s="276"/>
      <c r="H6" s="229">
        <f t="shared" si="7"/>
        <v>0</v>
      </c>
      <c r="I6" s="255"/>
      <c r="J6" s="255"/>
      <c r="K6" s="255"/>
      <c r="L6" s="255"/>
      <c r="M6" s="255"/>
      <c r="N6" s="255"/>
      <c r="O6" s="255"/>
      <c r="P6" s="255"/>
      <c r="Q6" s="255"/>
      <c r="R6" s="255"/>
      <c r="S6" s="229">
        <f t="shared" si="8"/>
        <v>0</v>
      </c>
      <c r="T6" s="255"/>
      <c r="U6" s="255"/>
      <c r="V6" s="255"/>
      <c r="W6" s="255"/>
      <c r="X6" s="255"/>
      <c r="Y6" s="255"/>
      <c r="Z6" s="230">
        <f t="shared" si="0"/>
        <v>0</v>
      </c>
      <c r="AA6" s="230">
        <f t="shared" si="1"/>
        <v>0</v>
      </c>
      <c r="AB6" s="230">
        <f t="shared" si="2"/>
        <v>0</v>
      </c>
      <c r="AC6" s="230">
        <f t="shared" si="3"/>
        <v>0</v>
      </c>
      <c r="AD6" s="230">
        <f t="shared" si="4"/>
        <v>0</v>
      </c>
      <c r="AE6" s="230">
        <f t="shared" si="5"/>
        <v>0</v>
      </c>
      <c r="AF6" s="230">
        <f t="shared" si="6"/>
        <v>0</v>
      </c>
      <c r="AG6" s="230">
        <f t="shared" si="9"/>
        <v>0</v>
      </c>
      <c r="AH6" s="255"/>
      <c r="AI6" s="255"/>
    </row>
    <row r="7" spans="1:35">
      <c r="A7" t="str">
        <f>IF(ABS(H7)&gt;0,基础信息!$B$1,"")</f>
        <v/>
      </c>
      <c r="B7" s="255"/>
      <c r="C7" s="276"/>
      <c r="D7" s="255"/>
      <c r="E7" s="287"/>
      <c r="F7" s="255"/>
      <c r="G7" s="276"/>
      <c r="H7" s="229">
        <f t="shared" si="7"/>
        <v>0</v>
      </c>
      <c r="I7" s="255"/>
      <c r="J7" s="255"/>
      <c r="K7" s="255"/>
      <c r="L7" s="255"/>
      <c r="M7" s="255"/>
      <c r="N7" s="255"/>
      <c r="O7" s="255"/>
      <c r="P7" s="255"/>
      <c r="Q7" s="255"/>
      <c r="R7" s="255"/>
      <c r="S7" s="229">
        <f t="shared" si="8"/>
        <v>0</v>
      </c>
      <c r="T7" s="255"/>
      <c r="U7" s="255"/>
      <c r="V7" s="255"/>
      <c r="W7" s="255"/>
      <c r="X7" s="255"/>
      <c r="Y7" s="255"/>
      <c r="Z7" s="230">
        <f t="shared" si="0"/>
        <v>0</v>
      </c>
      <c r="AA7" s="230">
        <f t="shared" si="1"/>
        <v>0</v>
      </c>
      <c r="AB7" s="230">
        <f t="shared" si="2"/>
        <v>0</v>
      </c>
      <c r="AC7" s="230">
        <f t="shared" si="3"/>
        <v>0</v>
      </c>
      <c r="AD7" s="230">
        <f t="shared" si="4"/>
        <v>0</v>
      </c>
      <c r="AE7" s="230">
        <f t="shared" si="5"/>
        <v>0</v>
      </c>
      <c r="AF7" s="230">
        <f t="shared" si="6"/>
        <v>0</v>
      </c>
      <c r="AG7" s="230">
        <f t="shared" si="9"/>
        <v>0</v>
      </c>
      <c r="AH7" s="255"/>
      <c r="AI7" s="255"/>
    </row>
    <row r="8" spans="1:35">
      <c r="A8" t="str">
        <f>IF(ABS(H8)&gt;0,基础信息!$B$1,"")</f>
        <v/>
      </c>
      <c r="B8" s="255"/>
      <c r="C8" s="276"/>
      <c r="D8" s="255"/>
      <c r="E8" s="287"/>
      <c r="F8" s="255"/>
      <c r="G8" s="276"/>
      <c r="H8" s="229">
        <f t="shared" si="7"/>
        <v>0</v>
      </c>
      <c r="I8" s="255"/>
      <c r="J8" s="255"/>
      <c r="K8" s="255"/>
      <c r="L8" s="255"/>
      <c r="M8" s="255"/>
      <c r="N8" s="255"/>
      <c r="O8" s="255"/>
      <c r="P8" s="255"/>
      <c r="Q8" s="255"/>
      <c r="R8" s="255"/>
      <c r="S8" s="229">
        <f t="shared" si="8"/>
        <v>0</v>
      </c>
      <c r="T8" s="255"/>
      <c r="U8" s="255"/>
      <c r="V8" s="255"/>
      <c r="W8" s="255"/>
      <c r="X8" s="255"/>
      <c r="Y8" s="255"/>
      <c r="Z8" s="230">
        <f t="shared" si="0"/>
        <v>0</v>
      </c>
      <c r="AA8" s="230">
        <f t="shared" si="1"/>
        <v>0</v>
      </c>
      <c r="AB8" s="230">
        <f t="shared" si="2"/>
        <v>0</v>
      </c>
      <c r="AC8" s="230">
        <f t="shared" si="3"/>
        <v>0</v>
      </c>
      <c r="AD8" s="230">
        <f t="shared" si="4"/>
        <v>0</v>
      </c>
      <c r="AE8" s="230">
        <f t="shared" si="5"/>
        <v>0</v>
      </c>
      <c r="AF8" s="230">
        <f t="shared" si="6"/>
        <v>0</v>
      </c>
      <c r="AG8" s="230">
        <f t="shared" si="9"/>
        <v>0</v>
      </c>
      <c r="AH8" s="255"/>
      <c r="AI8" s="255"/>
    </row>
    <row r="9" spans="1:35">
      <c r="A9" t="str">
        <f>IF(ABS(H9)&gt;0,基础信息!$B$1,"")</f>
        <v/>
      </c>
      <c r="B9" s="255"/>
      <c r="C9" s="276"/>
      <c r="D9" s="255"/>
      <c r="E9" s="287"/>
      <c r="F9" s="255"/>
      <c r="G9" s="276"/>
      <c r="H9" s="229">
        <f t="shared" si="7"/>
        <v>0</v>
      </c>
      <c r="I9" s="255"/>
      <c r="J9" s="255"/>
      <c r="K9" s="255"/>
      <c r="L9" s="255"/>
      <c r="M9" s="255"/>
      <c r="N9" s="255"/>
      <c r="O9" s="255"/>
      <c r="P9" s="255"/>
      <c r="Q9" s="255"/>
      <c r="R9" s="255"/>
      <c r="S9" s="229">
        <f t="shared" si="8"/>
        <v>0</v>
      </c>
      <c r="T9" s="255"/>
      <c r="U9" s="255"/>
      <c r="V9" s="255"/>
      <c r="W9" s="255"/>
      <c r="X9" s="255"/>
      <c r="Y9" s="255"/>
      <c r="Z9" s="230">
        <f t="shared" si="0"/>
        <v>0</v>
      </c>
      <c r="AA9" s="230">
        <f t="shared" si="1"/>
        <v>0</v>
      </c>
      <c r="AB9" s="230">
        <f t="shared" si="2"/>
        <v>0</v>
      </c>
      <c r="AC9" s="230">
        <f t="shared" si="3"/>
        <v>0</v>
      </c>
      <c r="AD9" s="230">
        <f t="shared" si="4"/>
        <v>0</v>
      </c>
      <c r="AE9" s="230">
        <f t="shared" si="5"/>
        <v>0</v>
      </c>
      <c r="AF9" s="230">
        <f t="shared" si="6"/>
        <v>0</v>
      </c>
      <c r="AG9" s="230">
        <f t="shared" si="9"/>
        <v>0</v>
      </c>
      <c r="AH9" s="255"/>
      <c r="AI9" s="255"/>
    </row>
    <row r="10" spans="1:35">
      <c r="A10" t="str">
        <f>IF(ABS(H10)&gt;0,基础信息!$B$1,"")</f>
        <v/>
      </c>
      <c r="B10" s="255"/>
      <c r="C10" s="276"/>
      <c r="D10" s="255"/>
      <c r="E10" s="287"/>
      <c r="F10" s="255"/>
      <c r="G10" s="276"/>
      <c r="H10" s="229">
        <f t="shared" si="7"/>
        <v>0</v>
      </c>
      <c r="I10" s="255"/>
      <c r="J10" s="255"/>
      <c r="K10" s="255"/>
      <c r="L10" s="255"/>
      <c r="M10" s="255"/>
      <c r="N10" s="255"/>
      <c r="O10" s="255"/>
      <c r="P10" s="255"/>
      <c r="Q10" s="255"/>
      <c r="R10" s="255"/>
      <c r="S10" s="229">
        <f t="shared" si="8"/>
        <v>0</v>
      </c>
      <c r="T10" s="255"/>
      <c r="U10" s="255"/>
      <c r="V10" s="255"/>
      <c r="W10" s="255"/>
      <c r="X10" s="255"/>
      <c r="Y10" s="255"/>
      <c r="Z10" s="230">
        <f t="shared" si="0"/>
        <v>0</v>
      </c>
      <c r="AA10" s="230">
        <f t="shared" si="1"/>
        <v>0</v>
      </c>
      <c r="AB10" s="230">
        <f t="shared" si="2"/>
        <v>0</v>
      </c>
      <c r="AC10" s="230">
        <f t="shared" si="3"/>
        <v>0</v>
      </c>
      <c r="AD10" s="230">
        <f t="shared" si="4"/>
        <v>0</v>
      </c>
      <c r="AE10" s="230">
        <f t="shared" si="5"/>
        <v>0</v>
      </c>
      <c r="AF10" s="230">
        <f t="shared" si="6"/>
        <v>0</v>
      </c>
      <c r="AG10" s="230">
        <f t="shared" si="9"/>
        <v>0</v>
      </c>
      <c r="AH10" s="255"/>
      <c r="AI10" s="255"/>
    </row>
    <row r="11" spans="1:35">
      <c r="A11" t="str">
        <f>IF(ABS(H11)&gt;0,基础信息!$B$1,"")</f>
        <v/>
      </c>
      <c r="B11" s="255"/>
      <c r="C11" s="276"/>
      <c r="D11" s="255"/>
      <c r="E11" s="287"/>
      <c r="F11" s="255"/>
      <c r="G11" s="276"/>
      <c r="H11" s="229">
        <f t="shared" si="7"/>
        <v>0</v>
      </c>
      <c r="I11" s="255"/>
      <c r="J11" s="255"/>
      <c r="K11" s="255"/>
      <c r="L11" s="255"/>
      <c r="M11" s="255"/>
      <c r="N11" s="255"/>
      <c r="O11" s="255"/>
      <c r="P11" s="255"/>
      <c r="Q11" s="255"/>
      <c r="R11" s="255"/>
      <c r="S11" s="229">
        <f t="shared" si="8"/>
        <v>0</v>
      </c>
      <c r="T11" s="255"/>
      <c r="U11" s="255"/>
      <c r="V11" s="255"/>
      <c r="W11" s="255"/>
      <c r="X11" s="255"/>
      <c r="Y11" s="255"/>
      <c r="Z11" s="230">
        <f t="shared" si="0"/>
        <v>0</v>
      </c>
      <c r="AA11" s="230">
        <f t="shared" si="1"/>
        <v>0</v>
      </c>
      <c r="AB11" s="230">
        <f t="shared" si="2"/>
        <v>0</v>
      </c>
      <c r="AC11" s="230">
        <f t="shared" si="3"/>
        <v>0</v>
      </c>
      <c r="AD11" s="230">
        <f t="shared" si="4"/>
        <v>0</v>
      </c>
      <c r="AE11" s="230">
        <f t="shared" si="5"/>
        <v>0</v>
      </c>
      <c r="AF11" s="230">
        <f t="shared" si="6"/>
        <v>0</v>
      </c>
      <c r="AG11" s="230">
        <f t="shared" si="9"/>
        <v>0</v>
      </c>
      <c r="AH11" s="255"/>
      <c r="AI11" s="255"/>
    </row>
    <row r="12" spans="1:35">
      <c r="A12" t="str">
        <f>IF(ABS(H12)&gt;0,基础信息!$B$1,"")</f>
        <v/>
      </c>
      <c r="B12" s="255"/>
      <c r="C12" s="276"/>
      <c r="D12" s="255"/>
      <c r="E12" s="287"/>
      <c r="F12" s="255"/>
      <c r="G12" s="276"/>
      <c r="H12" s="229">
        <f t="shared" si="7"/>
        <v>0</v>
      </c>
      <c r="I12" s="255"/>
      <c r="J12" s="255"/>
      <c r="K12" s="255"/>
      <c r="L12" s="255"/>
      <c r="M12" s="255"/>
      <c r="N12" s="255"/>
      <c r="O12" s="255"/>
      <c r="P12" s="255"/>
      <c r="Q12" s="255"/>
      <c r="R12" s="255"/>
      <c r="S12" s="229">
        <f t="shared" si="8"/>
        <v>0</v>
      </c>
      <c r="T12" s="255"/>
      <c r="U12" s="255"/>
      <c r="V12" s="255"/>
      <c r="W12" s="255"/>
      <c r="X12" s="255"/>
      <c r="Y12" s="255"/>
      <c r="Z12" s="230">
        <f t="shared" si="0"/>
        <v>0</v>
      </c>
      <c r="AA12" s="230">
        <f t="shared" si="1"/>
        <v>0</v>
      </c>
      <c r="AB12" s="230">
        <f t="shared" si="2"/>
        <v>0</v>
      </c>
      <c r="AC12" s="230">
        <f t="shared" si="3"/>
        <v>0</v>
      </c>
      <c r="AD12" s="230">
        <f t="shared" si="4"/>
        <v>0</v>
      </c>
      <c r="AE12" s="230">
        <f t="shared" si="5"/>
        <v>0</v>
      </c>
      <c r="AF12" s="230">
        <f t="shared" si="6"/>
        <v>0</v>
      </c>
      <c r="AG12" s="230">
        <f t="shared" si="9"/>
        <v>0</v>
      </c>
      <c r="AH12" s="255"/>
      <c r="AI12" s="255"/>
    </row>
    <row r="13" spans="1:35">
      <c r="A13" t="str">
        <f>IF(ABS(H13)&gt;0,基础信息!$B$1,"")</f>
        <v/>
      </c>
      <c r="B13" s="255"/>
      <c r="C13" s="276"/>
      <c r="D13" s="255"/>
      <c r="E13" s="287"/>
      <c r="F13" s="255"/>
      <c r="G13" s="276"/>
      <c r="H13" s="229">
        <f t="shared" si="7"/>
        <v>0</v>
      </c>
      <c r="I13" s="255"/>
      <c r="J13" s="255"/>
      <c r="K13" s="255"/>
      <c r="L13" s="255"/>
      <c r="M13" s="255"/>
      <c r="N13" s="255"/>
      <c r="O13" s="255"/>
      <c r="P13" s="255"/>
      <c r="Q13" s="255"/>
      <c r="R13" s="255"/>
      <c r="S13" s="229">
        <f t="shared" si="8"/>
        <v>0</v>
      </c>
      <c r="T13" s="255"/>
      <c r="U13" s="255"/>
      <c r="V13" s="255"/>
      <c r="W13" s="255"/>
      <c r="X13" s="255"/>
      <c r="Y13" s="255"/>
      <c r="Z13" s="230">
        <f t="shared" si="0"/>
        <v>0</v>
      </c>
      <c r="AA13" s="230">
        <f t="shared" si="1"/>
        <v>0</v>
      </c>
      <c r="AB13" s="230">
        <f t="shared" si="2"/>
        <v>0</v>
      </c>
      <c r="AC13" s="230">
        <f t="shared" si="3"/>
        <v>0</v>
      </c>
      <c r="AD13" s="230">
        <f t="shared" si="4"/>
        <v>0</v>
      </c>
      <c r="AE13" s="230">
        <f t="shared" si="5"/>
        <v>0</v>
      </c>
      <c r="AF13" s="230">
        <f t="shared" si="6"/>
        <v>0</v>
      </c>
      <c r="AG13" s="230">
        <f t="shared" si="9"/>
        <v>0</v>
      </c>
      <c r="AH13" s="255"/>
      <c r="AI13" s="255"/>
    </row>
    <row r="14" spans="1:35">
      <c r="A14" t="str">
        <f>IF(ABS(H14)&gt;0,基础信息!$B$1,"")</f>
        <v/>
      </c>
      <c r="B14" s="255"/>
      <c r="C14" s="276"/>
      <c r="D14" s="255"/>
      <c r="E14" s="287"/>
      <c r="F14" s="255"/>
      <c r="G14" s="276"/>
      <c r="H14" s="229">
        <f t="shared" si="7"/>
        <v>0</v>
      </c>
      <c r="I14" s="255"/>
      <c r="J14" s="255"/>
      <c r="K14" s="255"/>
      <c r="L14" s="255"/>
      <c r="M14" s="255"/>
      <c r="N14" s="255"/>
      <c r="O14" s="255"/>
      <c r="P14" s="255"/>
      <c r="Q14" s="255"/>
      <c r="R14" s="255"/>
      <c r="S14" s="229">
        <f t="shared" si="8"/>
        <v>0</v>
      </c>
      <c r="T14" s="255"/>
      <c r="U14" s="255"/>
      <c r="V14" s="255"/>
      <c r="W14" s="255"/>
      <c r="X14" s="255"/>
      <c r="Y14" s="255"/>
      <c r="Z14" s="230">
        <f t="shared" si="0"/>
        <v>0</v>
      </c>
      <c r="AA14" s="230">
        <f t="shared" si="1"/>
        <v>0</v>
      </c>
      <c r="AB14" s="230">
        <f t="shared" si="2"/>
        <v>0</v>
      </c>
      <c r="AC14" s="230">
        <f t="shared" si="3"/>
        <v>0</v>
      </c>
      <c r="AD14" s="230">
        <f t="shared" si="4"/>
        <v>0</v>
      </c>
      <c r="AE14" s="230">
        <f t="shared" si="5"/>
        <v>0</v>
      </c>
      <c r="AF14" s="230">
        <f t="shared" si="6"/>
        <v>0</v>
      </c>
      <c r="AG14" s="230">
        <f t="shared" si="9"/>
        <v>0</v>
      </c>
      <c r="AH14" s="255"/>
      <c r="AI14" s="255"/>
    </row>
    <row r="15" spans="1:35">
      <c r="A15" t="str">
        <f>IF(ABS(H15)&gt;0,基础信息!$B$1,"")</f>
        <v/>
      </c>
      <c r="B15" s="255"/>
      <c r="C15" s="276"/>
      <c r="D15" s="255"/>
      <c r="E15" s="287"/>
      <c r="F15" s="255"/>
      <c r="G15" s="276"/>
      <c r="H15" s="229">
        <f t="shared" si="7"/>
        <v>0</v>
      </c>
      <c r="I15" s="255"/>
      <c r="J15" s="255"/>
      <c r="K15" s="255"/>
      <c r="L15" s="255"/>
      <c r="M15" s="255"/>
      <c r="N15" s="255"/>
      <c r="O15" s="255"/>
      <c r="P15" s="255"/>
      <c r="Q15" s="255"/>
      <c r="R15" s="255"/>
      <c r="S15" s="229">
        <f t="shared" si="8"/>
        <v>0</v>
      </c>
      <c r="T15" s="255"/>
      <c r="U15" s="255"/>
      <c r="V15" s="255"/>
      <c r="W15" s="255"/>
      <c r="X15" s="255"/>
      <c r="Y15" s="255"/>
      <c r="Z15" s="230">
        <f t="shared" si="0"/>
        <v>0</v>
      </c>
      <c r="AA15" s="230">
        <f t="shared" si="1"/>
        <v>0</v>
      </c>
      <c r="AB15" s="230">
        <f t="shared" si="2"/>
        <v>0</v>
      </c>
      <c r="AC15" s="230">
        <f t="shared" si="3"/>
        <v>0</v>
      </c>
      <c r="AD15" s="230">
        <f t="shared" si="4"/>
        <v>0</v>
      </c>
      <c r="AE15" s="230">
        <f t="shared" si="5"/>
        <v>0</v>
      </c>
      <c r="AF15" s="230">
        <f t="shared" si="6"/>
        <v>0</v>
      </c>
      <c r="AG15" s="230">
        <f t="shared" si="9"/>
        <v>0</v>
      </c>
      <c r="AH15" s="255"/>
      <c r="AI15" s="255"/>
    </row>
    <row r="16" spans="1:35">
      <c r="A16" t="str">
        <f>IF(ABS(H16)&gt;0,基础信息!$B$1,"")</f>
        <v/>
      </c>
      <c r="B16" s="255"/>
      <c r="C16" s="276"/>
      <c r="D16" s="255"/>
      <c r="E16" s="287"/>
      <c r="F16" s="255"/>
      <c r="G16" s="276"/>
      <c r="H16" s="229">
        <f t="shared" si="7"/>
        <v>0</v>
      </c>
      <c r="I16" s="255"/>
      <c r="J16" s="255"/>
      <c r="K16" s="255"/>
      <c r="L16" s="255"/>
      <c r="M16" s="255"/>
      <c r="N16" s="255"/>
      <c r="O16" s="255"/>
      <c r="P16" s="255"/>
      <c r="Q16" s="255"/>
      <c r="R16" s="255"/>
      <c r="S16" s="229">
        <f t="shared" si="8"/>
        <v>0</v>
      </c>
      <c r="T16" s="255"/>
      <c r="U16" s="255"/>
      <c r="V16" s="255"/>
      <c r="W16" s="255"/>
      <c r="X16" s="255"/>
      <c r="Y16" s="255"/>
      <c r="Z16" s="230">
        <f t="shared" si="0"/>
        <v>0</v>
      </c>
      <c r="AA16" s="230">
        <f t="shared" si="1"/>
        <v>0</v>
      </c>
      <c r="AB16" s="230">
        <f t="shared" si="2"/>
        <v>0</v>
      </c>
      <c r="AC16" s="230">
        <f t="shared" si="3"/>
        <v>0</v>
      </c>
      <c r="AD16" s="230">
        <f t="shared" si="4"/>
        <v>0</v>
      </c>
      <c r="AE16" s="230">
        <f t="shared" si="5"/>
        <v>0</v>
      </c>
      <c r="AF16" s="230">
        <f t="shared" si="6"/>
        <v>0</v>
      </c>
      <c r="AG16" s="230">
        <f t="shared" si="9"/>
        <v>0</v>
      </c>
      <c r="AH16" s="255"/>
      <c r="AI16" s="255"/>
    </row>
    <row r="17" spans="1:35">
      <c r="A17" t="str">
        <f>IF(ABS(H17)&gt;0,基础信息!$B$1,"")</f>
        <v/>
      </c>
      <c r="B17" s="255"/>
      <c r="C17" s="276"/>
      <c r="D17" s="255"/>
      <c r="E17" s="287"/>
      <c r="F17" s="255"/>
      <c r="G17" s="276"/>
      <c r="H17" s="229">
        <f t="shared" si="7"/>
        <v>0</v>
      </c>
      <c r="I17" s="255"/>
      <c r="J17" s="255"/>
      <c r="K17" s="255"/>
      <c r="L17" s="255"/>
      <c r="M17" s="255"/>
      <c r="N17" s="255"/>
      <c r="O17" s="255"/>
      <c r="P17" s="255"/>
      <c r="Q17" s="255"/>
      <c r="R17" s="255"/>
      <c r="S17" s="229">
        <f t="shared" si="8"/>
        <v>0</v>
      </c>
      <c r="T17" s="255"/>
      <c r="U17" s="255"/>
      <c r="V17" s="255"/>
      <c r="W17" s="255"/>
      <c r="X17" s="255"/>
      <c r="Y17" s="255"/>
      <c r="Z17" s="230">
        <f t="shared" si="0"/>
        <v>0</v>
      </c>
      <c r="AA17" s="230">
        <f t="shared" si="1"/>
        <v>0</v>
      </c>
      <c r="AB17" s="230">
        <f t="shared" si="2"/>
        <v>0</v>
      </c>
      <c r="AC17" s="230">
        <f t="shared" si="3"/>
        <v>0</v>
      </c>
      <c r="AD17" s="230">
        <f t="shared" si="4"/>
        <v>0</v>
      </c>
      <c r="AE17" s="230">
        <f t="shared" si="5"/>
        <v>0</v>
      </c>
      <c r="AF17" s="230">
        <f t="shared" si="6"/>
        <v>0</v>
      </c>
      <c r="AG17" s="230">
        <f t="shared" si="9"/>
        <v>0</v>
      </c>
      <c r="AH17" s="255"/>
      <c r="AI17" s="255"/>
    </row>
    <row r="18" spans="1:35">
      <c r="A18" t="str">
        <f>IF(ABS(H18)&gt;0,基础信息!$B$1,"")</f>
        <v/>
      </c>
      <c r="C18" s="276"/>
      <c r="E18" s="287"/>
      <c r="G18" s="276"/>
      <c r="H18" s="229">
        <f t="shared" si="7"/>
        <v>0</v>
      </c>
      <c r="S18" s="229">
        <f t="shared" si="8"/>
        <v>0</v>
      </c>
      <c r="Z18" s="230">
        <f t="shared" si="0"/>
        <v>0</v>
      </c>
      <c r="AA18" s="230">
        <f t="shared" si="1"/>
        <v>0</v>
      </c>
      <c r="AB18" s="230">
        <f t="shared" si="2"/>
        <v>0</v>
      </c>
      <c r="AC18" s="230">
        <f t="shared" si="3"/>
        <v>0</v>
      </c>
      <c r="AD18" s="230">
        <f t="shared" si="4"/>
        <v>0</v>
      </c>
      <c r="AE18" s="230">
        <f t="shared" si="5"/>
        <v>0</v>
      </c>
      <c r="AF18" s="230">
        <f t="shared" si="6"/>
        <v>0</v>
      </c>
      <c r="AG18" s="230">
        <f t="shared" si="9"/>
        <v>0</v>
      </c>
    </row>
    <row r="19" spans="1:35">
      <c r="A19" t="str">
        <f>IF(ABS(H19)&gt;0,基础信息!$B$1,"")</f>
        <v/>
      </c>
      <c r="C19" s="276"/>
      <c r="E19" s="287"/>
      <c r="G19" s="276"/>
      <c r="H19" s="229">
        <f t="shared" si="7"/>
        <v>0</v>
      </c>
      <c r="S19" s="229">
        <f t="shared" si="8"/>
        <v>0</v>
      </c>
      <c r="Z19" s="230">
        <f t="shared" si="0"/>
        <v>0</v>
      </c>
      <c r="AA19" s="230">
        <f t="shared" si="1"/>
        <v>0</v>
      </c>
      <c r="AB19" s="230">
        <f t="shared" si="2"/>
        <v>0</v>
      </c>
      <c r="AC19" s="230">
        <f t="shared" si="3"/>
        <v>0</v>
      </c>
      <c r="AD19" s="230">
        <f t="shared" si="4"/>
        <v>0</v>
      </c>
      <c r="AE19" s="230">
        <f t="shared" si="5"/>
        <v>0</v>
      </c>
      <c r="AF19" s="230">
        <f t="shared" si="6"/>
        <v>0</v>
      </c>
      <c r="AG19" s="230">
        <f t="shared" si="9"/>
        <v>0</v>
      </c>
    </row>
    <row r="20" spans="1:35">
      <c r="A20" t="str">
        <f>IF(ABS(H20)&gt;0,基础信息!$B$1,"")</f>
        <v/>
      </c>
      <c r="C20" s="276"/>
      <c r="E20" s="287"/>
      <c r="G20" s="276"/>
      <c r="H20" s="229">
        <f t="shared" si="7"/>
        <v>0</v>
      </c>
      <c r="S20" s="229">
        <f t="shared" si="8"/>
        <v>0</v>
      </c>
      <c r="Z20" s="230">
        <f t="shared" si="0"/>
        <v>0</v>
      </c>
      <c r="AA20" s="230">
        <f t="shared" si="1"/>
        <v>0</v>
      </c>
      <c r="AB20" s="230">
        <f t="shared" si="2"/>
        <v>0</v>
      </c>
      <c r="AC20" s="230">
        <f t="shared" si="3"/>
        <v>0</v>
      </c>
      <c r="AD20" s="230">
        <f t="shared" si="4"/>
        <v>0</v>
      </c>
      <c r="AE20" s="230">
        <f t="shared" si="5"/>
        <v>0</v>
      </c>
      <c r="AF20" s="230">
        <f t="shared" si="6"/>
        <v>0</v>
      </c>
      <c r="AG20" s="230">
        <f t="shared" si="9"/>
        <v>0</v>
      </c>
    </row>
    <row r="21" spans="1:35">
      <c r="S21" s="229">
        <f t="shared" ref="S21:S84" si="10">O21+P21-Q21-R21</f>
        <v>0</v>
      </c>
      <c r="Z21" s="230">
        <f t="shared" ref="Z21:Z84" si="11">H21-S21</f>
        <v>0</v>
      </c>
      <c r="AA21" s="230">
        <f t="shared" ref="AA21:AA84" si="12">I21-T21</f>
        <v>0</v>
      </c>
      <c r="AB21" s="230">
        <f t="shared" ref="AB21:AB84" si="13">J21-U21</f>
        <v>0</v>
      </c>
      <c r="AC21" s="230">
        <f t="shared" ref="AC21:AC84" si="14">K21-V21</f>
        <v>0</v>
      </c>
      <c r="AD21" s="230">
        <f t="shared" ref="AD21:AD84" si="15">L21-W21</f>
        <v>0</v>
      </c>
      <c r="AE21" s="230">
        <f t="shared" ref="AE21:AE84" si="16">M21-X21</f>
        <v>0</v>
      </c>
      <c r="AF21" s="230">
        <f t="shared" ref="AF21:AF84" si="17">N21-Y21</f>
        <v>0</v>
      </c>
      <c r="AG21" s="230">
        <f t="shared" ref="AG21:AG84" si="18">S21-SUM(T21:Y21)</f>
        <v>0</v>
      </c>
    </row>
    <row r="22" spans="1:35">
      <c r="A22" t="str">
        <f>IF(ABS(H22)&gt;0,基础信息!$B$1,"")</f>
        <v/>
      </c>
      <c r="S22" s="229">
        <f t="shared" si="10"/>
        <v>0</v>
      </c>
      <c r="Z22" s="230">
        <f t="shared" si="11"/>
        <v>0</v>
      </c>
      <c r="AA22" s="230">
        <f t="shared" si="12"/>
        <v>0</v>
      </c>
      <c r="AB22" s="230">
        <f t="shared" si="13"/>
        <v>0</v>
      </c>
      <c r="AC22" s="230">
        <f t="shared" si="14"/>
        <v>0</v>
      </c>
      <c r="AD22" s="230">
        <f t="shared" si="15"/>
        <v>0</v>
      </c>
      <c r="AE22" s="230">
        <f t="shared" si="16"/>
        <v>0</v>
      </c>
      <c r="AF22" s="230">
        <f t="shared" si="17"/>
        <v>0</v>
      </c>
      <c r="AG22" s="230">
        <f t="shared" si="18"/>
        <v>0</v>
      </c>
    </row>
    <row r="23" spans="1:35">
      <c r="A23" t="str">
        <f>IF(ABS(H23)&gt;0,基础信息!$B$1,"")</f>
        <v/>
      </c>
      <c r="S23" s="229">
        <f t="shared" si="10"/>
        <v>0</v>
      </c>
      <c r="Z23" s="230">
        <f t="shared" si="11"/>
        <v>0</v>
      </c>
      <c r="AA23" s="230">
        <f t="shared" si="12"/>
        <v>0</v>
      </c>
      <c r="AB23" s="230">
        <f t="shared" si="13"/>
        <v>0</v>
      </c>
      <c r="AC23" s="230">
        <f t="shared" si="14"/>
        <v>0</v>
      </c>
      <c r="AD23" s="230">
        <f t="shared" si="15"/>
        <v>0</v>
      </c>
      <c r="AE23" s="230">
        <f t="shared" si="16"/>
        <v>0</v>
      </c>
      <c r="AF23" s="230">
        <f t="shared" si="17"/>
        <v>0</v>
      </c>
      <c r="AG23" s="230">
        <f t="shared" si="18"/>
        <v>0</v>
      </c>
    </row>
    <row r="24" spans="1:35">
      <c r="A24" t="str">
        <f>IF(ABS(H24)&gt;0,基础信息!$B$1,"")</f>
        <v/>
      </c>
      <c r="S24" s="229">
        <f t="shared" si="10"/>
        <v>0</v>
      </c>
      <c r="Z24" s="230">
        <f t="shared" si="11"/>
        <v>0</v>
      </c>
      <c r="AA24" s="230">
        <f t="shared" si="12"/>
        <v>0</v>
      </c>
      <c r="AB24" s="230">
        <f t="shared" si="13"/>
        <v>0</v>
      </c>
      <c r="AC24" s="230">
        <f t="shared" si="14"/>
        <v>0</v>
      </c>
      <c r="AD24" s="230">
        <f t="shared" si="15"/>
        <v>0</v>
      </c>
      <c r="AE24" s="230">
        <f t="shared" si="16"/>
        <v>0</v>
      </c>
      <c r="AF24" s="230">
        <f t="shared" si="17"/>
        <v>0</v>
      </c>
      <c r="AG24" s="230">
        <f t="shared" si="18"/>
        <v>0</v>
      </c>
    </row>
    <row r="25" spans="1:35">
      <c r="A25" t="str">
        <f>IF(ABS(H25)&gt;0,基础信息!$B$1,"")</f>
        <v/>
      </c>
      <c r="S25" s="229">
        <f t="shared" si="10"/>
        <v>0</v>
      </c>
      <c r="Z25" s="230">
        <f t="shared" si="11"/>
        <v>0</v>
      </c>
      <c r="AA25" s="230">
        <f t="shared" si="12"/>
        <v>0</v>
      </c>
      <c r="AB25" s="230">
        <f t="shared" si="13"/>
        <v>0</v>
      </c>
      <c r="AC25" s="230">
        <f t="shared" si="14"/>
        <v>0</v>
      </c>
      <c r="AD25" s="230">
        <f t="shared" si="15"/>
        <v>0</v>
      </c>
      <c r="AE25" s="230">
        <f t="shared" si="16"/>
        <v>0</v>
      </c>
      <c r="AF25" s="230">
        <f t="shared" si="17"/>
        <v>0</v>
      </c>
      <c r="AG25" s="230">
        <f t="shared" si="18"/>
        <v>0</v>
      </c>
    </row>
    <row r="26" spans="1:35">
      <c r="A26" t="str">
        <f>IF(ABS(H26)&gt;0,基础信息!$B$1,"")</f>
        <v/>
      </c>
      <c r="S26" s="229">
        <f t="shared" si="10"/>
        <v>0</v>
      </c>
      <c r="Z26" s="230">
        <f t="shared" si="11"/>
        <v>0</v>
      </c>
      <c r="AA26" s="230">
        <f t="shared" si="12"/>
        <v>0</v>
      </c>
      <c r="AB26" s="230">
        <f t="shared" si="13"/>
        <v>0</v>
      </c>
      <c r="AC26" s="230">
        <f t="shared" si="14"/>
        <v>0</v>
      </c>
      <c r="AD26" s="230">
        <f t="shared" si="15"/>
        <v>0</v>
      </c>
      <c r="AE26" s="230">
        <f t="shared" si="16"/>
        <v>0</v>
      </c>
      <c r="AF26" s="230">
        <f t="shared" si="17"/>
        <v>0</v>
      </c>
      <c r="AG26" s="230">
        <f t="shared" si="18"/>
        <v>0</v>
      </c>
    </row>
    <row r="27" spans="1:35">
      <c r="A27" t="str">
        <f>IF(ABS(H27)&gt;0,基础信息!$B$1,"")</f>
        <v/>
      </c>
      <c r="S27" s="229">
        <f t="shared" si="10"/>
        <v>0</v>
      </c>
      <c r="Z27" s="230">
        <f t="shared" si="11"/>
        <v>0</v>
      </c>
      <c r="AA27" s="230">
        <f t="shared" si="12"/>
        <v>0</v>
      </c>
      <c r="AB27" s="230">
        <f t="shared" si="13"/>
        <v>0</v>
      </c>
      <c r="AC27" s="230">
        <f t="shared" si="14"/>
        <v>0</v>
      </c>
      <c r="AD27" s="230">
        <f t="shared" si="15"/>
        <v>0</v>
      </c>
      <c r="AE27" s="230">
        <f t="shared" si="16"/>
        <v>0</v>
      </c>
      <c r="AF27" s="230">
        <f t="shared" si="17"/>
        <v>0</v>
      </c>
      <c r="AG27" s="230">
        <f t="shared" si="18"/>
        <v>0</v>
      </c>
    </row>
    <row r="28" spans="1:35">
      <c r="A28" t="str">
        <f>IF(ABS(H28)&gt;0,基础信息!$B$1,"")</f>
        <v/>
      </c>
      <c r="S28" s="229">
        <f t="shared" si="10"/>
        <v>0</v>
      </c>
      <c r="Z28" s="230">
        <f t="shared" si="11"/>
        <v>0</v>
      </c>
      <c r="AA28" s="230">
        <f t="shared" si="12"/>
        <v>0</v>
      </c>
      <c r="AB28" s="230">
        <f t="shared" si="13"/>
        <v>0</v>
      </c>
      <c r="AC28" s="230">
        <f t="shared" si="14"/>
        <v>0</v>
      </c>
      <c r="AD28" s="230">
        <f t="shared" si="15"/>
        <v>0</v>
      </c>
      <c r="AE28" s="230">
        <f t="shared" si="16"/>
        <v>0</v>
      </c>
      <c r="AF28" s="230">
        <f t="shared" si="17"/>
        <v>0</v>
      </c>
      <c r="AG28" s="230">
        <f t="shared" si="18"/>
        <v>0</v>
      </c>
    </row>
    <row r="29" spans="1:35">
      <c r="A29" t="str">
        <f>IF(ABS(H29)&gt;0,基础信息!$B$1,"")</f>
        <v/>
      </c>
      <c r="S29" s="229">
        <f t="shared" si="10"/>
        <v>0</v>
      </c>
      <c r="Z29" s="230">
        <f t="shared" si="11"/>
        <v>0</v>
      </c>
      <c r="AA29" s="230">
        <f t="shared" si="12"/>
        <v>0</v>
      </c>
      <c r="AB29" s="230">
        <f t="shared" si="13"/>
        <v>0</v>
      </c>
      <c r="AC29" s="230">
        <f t="shared" si="14"/>
        <v>0</v>
      </c>
      <c r="AD29" s="230">
        <f t="shared" si="15"/>
        <v>0</v>
      </c>
      <c r="AE29" s="230">
        <f t="shared" si="16"/>
        <v>0</v>
      </c>
      <c r="AF29" s="230">
        <f t="shared" si="17"/>
        <v>0</v>
      </c>
      <c r="AG29" s="230">
        <f t="shared" si="18"/>
        <v>0</v>
      </c>
    </row>
    <row r="30" spans="1:35">
      <c r="A30" t="str">
        <f>IF(ABS(H30)&gt;0,基础信息!$B$1,"")</f>
        <v/>
      </c>
      <c r="S30" s="229">
        <f t="shared" si="10"/>
        <v>0</v>
      </c>
      <c r="Z30" s="230">
        <f t="shared" si="11"/>
        <v>0</v>
      </c>
      <c r="AA30" s="230">
        <f t="shared" si="12"/>
        <v>0</v>
      </c>
      <c r="AB30" s="230">
        <f t="shared" si="13"/>
        <v>0</v>
      </c>
      <c r="AC30" s="230">
        <f t="shared" si="14"/>
        <v>0</v>
      </c>
      <c r="AD30" s="230">
        <f t="shared" si="15"/>
        <v>0</v>
      </c>
      <c r="AE30" s="230">
        <f t="shared" si="16"/>
        <v>0</v>
      </c>
      <c r="AF30" s="230">
        <f t="shared" si="17"/>
        <v>0</v>
      </c>
      <c r="AG30" s="230">
        <f t="shared" si="18"/>
        <v>0</v>
      </c>
    </row>
    <row r="31" spans="1:35">
      <c r="A31" t="str">
        <f>IF(ABS(H31)&gt;0,基础信息!$B$1,"")</f>
        <v/>
      </c>
      <c r="S31" s="229">
        <f t="shared" si="10"/>
        <v>0</v>
      </c>
      <c r="Z31" s="230">
        <f t="shared" si="11"/>
        <v>0</v>
      </c>
      <c r="AA31" s="230">
        <f t="shared" si="12"/>
        <v>0</v>
      </c>
      <c r="AB31" s="230">
        <f t="shared" si="13"/>
        <v>0</v>
      </c>
      <c r="AC31" s="230">
        <f t="shared" si="14"/>
        <v>0</v>
      </c>
      <c r="AD31" s="230">
        <f t="shared" si="15"/>
        <v>0</v>
      </c>
      <c r="AE31" s="230">
        <f t="shared" si="16"/>
        <v>0</v>
      </c>
      <c r="AF31" s="230">
        <f t="shared" si="17"/>
        <v>0</v>
      </c>
      <c r="AG31" s="230">
        <f t="shared" si="18"/>
        <v>0</v>
      </c>
    </row>
    <row r="32" spans="1:35">
      <c r="A32" t="str">
        <f>IF(ABS(H32)&gt;0,基础信息!$B$1,"")</f>
        <v/>
      </c>
      <c r="S32" s="229">
        <f t="shared" si="10"/>
        <v>0</v>
      </c>
      <c r="Z32" s="230">
        <f t="shared" si="11"/>
        <v>0</v>
      </c>
      <c r="AA32" s="230">
        <f t="shared" si="12"/>
        <v>0</v>
      </c>
      <c r="AB32" s="230">
        <f t="shared" si="13"/>
        <v>0</v>
      </c>
      <c r="AC32" s="230">
        <f t="shared" si="14"/>
        <v>0</v>
      </c>
      <c r="AD32" s="230">
        <f t="shared" si="15"/>
        <v>0</v>
      </c>
      <c r="AE32" s="230">
        <f t="shared" si="16"/>
        <v>0</v>
      </c>
      <c r="AF32" s="230">
        <f t="shared" si="17"/>
        <v>0</v>
      </c>
      <c r="AG32" s="230">
        <f t="shared" si="18"/>
        <v>0</v>
      </c>
    </row>
    <row r="33" spans="1:33">
      <c r="A33" t="str">
        <f>IF(ABS(H33)&gt;0,基础信息!$B$1,"")</f>
        <v/>
      </c>
      <c r="S33" s="229">
        <f t="shared" si="10"/>
        <v>0</v>
      </c>
      <c r="Z33" s="230">
        <f t="shared" si="11"/>
        <v>0</v>
      </c>
      <c r="AA33" s="230">
        <f t="shared" si="12"/>
        <v>0</v>
      </c>
      <c r="AB33" s="230">
        <f t="shared" si="13"/>
        <v>0</v>
      </c>
      <c r="AC33" s="230">
        <f t="shared" si="14"/>
        <v>0</v>
      </c>
      <c r="AD33" s="230">
        <f t="shared" si="15"/>
        <v>0</v>
      </c>
      <c r="AE33" s="230">
        <f t="shared" si="16"/>
        <v>0</v>
      </c>
      <c r="AF33" s="230">
        <f t="shared" si="17"/>
        <v>0</v>
      </c>
      <c r="AG33" s="230">
        <f t="shared" si="18"/>
        <v>0</v>
      </c>
    </row>
    <row r="34" spans="1:33">
      <c r="A34" t="str">
        <f>IF(ABS(H34)&gt;0,基础信息!$B$1,"")</f>
        <v/>
      </c>
      <c r="S34" s="229">
        <f t="shared" si="10"/>
        <v>0</v>
      </c>
      <c r="Z34" s="230">
        <f t="shared" si="11"/>
        <v>0</v>
      </c>
      <c r="AA34" s="230">
        <f t="shared" si="12"/>
        <v>0</v>
      </c>
      <c r="AB34" s="230">
        <f t="shared" si="13"/>
        <v>0</v>
      </c>
      <c r="AC34" s="230">
        <f t="shared" si="14"/>
        <v>0</v>
      </c>
      <c r="AD34" s="230">
        <f t="shared" si="15"/>
        <v>0</v>
      </c>
      <c r="AE34" s="230">
        <f t="shared" si="16"/>
        <v>0</v>
      </c>
      <c r="AF34" s="230">
        <f t="shared" si="17"/>
        <v>0</v>
      </c>
      <c r="AG34" s="230">
        <f t="shared" si="18"/>
        <v>0</v>
      </c>
    </row>
    <row r="35" spans="1:33">
      <c r="A35" t="str">
        <f>IF(ABS(H35)&gt;0,基础信息!$B$1,"")</f>
        <v/>
      </c>
      <c r="S35" s="229">
        <f t="shared" si="10"/>
        <v>0</v>
      </c>
      <c r="Z35" s="230">
        <f t="shared" si="11"/>
        <v>0</v>
      </c>
      <c r="AA35" s="230">
        <f t="shared" si="12"/>
        <v>0</v>
      </c>
      <c r="AB35" s="230">
        <f t="shared" si="13"/>
        <v>0</v>
      </c>
      <c r="AC35" s="230">
        <f t="shared" si="14"/>
        <v>0</v>
      </c>
      <c r="AD35" s="230">
        <f t="shared" si="15"/>
        <v>0</v>
      </c>
      <c r="AE35" s="230">
        <f t="shared" si="16"/>
        <v>0</v>
      </c>
      <c r="AF35" s="230">
        <f t="shared" si="17"/>
        <v>0</v>
      </c>
      <c r="AG35" s="230">
        <f t="shared" si="18"/>
        <v>0</v>
      </c>
    </row>
    <row r="36" spans="1:33">
      <c r="A36" t="str">
        <f>IF(ABS(H36)&gt;0,基础信息!$B$1,"")</f>
        <v/>
      </c>
      <c r="S36" s="229">
        <f t="shared" si="10"/>
        <v>0</v>
      </c>
      <c r="Z36" s="230">
        <f t="shared" si="11"/>
        <v>0</v>
      </c>
      <c r="AA36" s="230">
        <f t="shared" si="12"/>
        <v>0</v>
      </c>
      <c r="AB36" s="230">
        <f t="shared" si="13"/>
        <v>0</v>
      </c>
      <c r="AC36" s="230">
        <f t="shared" si="14"/>
        <v>0</v>
      </c>
      <c r="AD36" s="230">
        <f t="shared" si="15"/>
        <v>0</v>
      </c>
      <c r="AE36" s="230">
        <f t="shared" si="16"/>
        <v>0</v>
      </c>
      <c r="AF36" s="230">
        <f t="shared" si="17"/>
        <v>0</v>
      </c>
      <c r="AG36" s="230">
        <f t="shared" si="18"/>
        <v>0</v>
      </c>
    </row>
    <row r="37" spans="1:33">
      <c r="A37" t="str">
        <f>IF(ABS(H37)&gt;0,基础信息!$B$1,"")</f>
        <v/>
      </c>
      <c r="S37" s="229">
        <f t="shared" si="10"/>
        <v>0</v>
      </c>
      <c r="Z37" s="230">
        <f t="shared" si="11"/>
        <v>0</v>
      </c>
      <c r="AA37" s="230">
        <f t="shared" si="12"/>
        <v>0</v>
      </c>
      <c r="AB37" s="230">
        <f t="shared" si="13"/>
        <v>0</v>
      </c>
      <c r="AC37" s="230">
        <f t="shared" si="14"/>
        <v>0</v>
      </c>
      <c r="AD37" s="230">
        <f t="shared" si="15"/>
        <v>0</v>
      </c>
      <c r="AE37" s="230">
        <f t="shared" si="16"/>
        <v>0</v>
      </c>
      <c r="AF37" s="230">
        <f t="shared" si="17"/>
        <v>0</v>
      </c>
      <c r="AG37" s="230">
        <f t="shared" si="18"/>
        <v>0</v>
      </c>
    </row>
    <row r="38" spans="1:33">
      <c r="A38" t="str">
        <f>IF(ABS(H38)&gt;0,基础信息!$B$1,"")</f>
        <v/>
      </c>
      <c r="S38" s="229">
        <f t="shared" si="10"/>
        <v>0</v>
      </c>
      <c r="Z38" s="230">
        <f t="shared" si="11"/>
        <v>0</v>
      </c>
      <c r="AA38" s="230">
        <f t="shared" si="12"/>
        <v>0</v>
      </c>
      <c r="AB38" s="230">
        <f t="shared" si="13"/>
        <v>0</v>
      </c>
      <c r="AC38" s="230">
        <f t="shared" si="14"/>
        <v>0</v>
      </c>
      <c r="AD38" s="230">
        <f t="shared" si="15"/>
        <v>0</v>
      </c>
      <c r="AE38" s="230">
        <f t="shared" si="16"/>
        <v>0</v>
      </c>
      <c r="AF38" s="230">
        <f t="shared" si="17"/>
        <v>0</v>
      </c>
      <c r="AG38" s="230">
        <f t="shared" si="18"/>
        <v>0</v>
      </c>
    </row>
    <row r="39" spans="1:33">
      <c r="A39" t="str">
        <f>IF(ABS(H39)&gt;0,基础信息!$B$1,"")</f>
        <v/>
      </c>
      <c r="S39" s="229">
        <f t="shared" si="10"/>
        <v>0</v>
      </c>
      <c r="Z39" s="230">
        <f t="shared" si="11"/>
        <v>0</v>
      </c>
      <c r="AA39" s="230">
        <f t="shared" si="12"/>
        <v>0</v>
      </c>
      <c r="AB39" s="230">
        <f t="shared" si="13"/>
        <v>0</v>
      </c>
      <c r="AC39" s="230">
        <f t="shared" si="14"/>
        <v>0</v>
      </c>
      <c r="AD39" s="230">
        <f t="shared" si="15"/>
        <v>0</v>
      </c>
      <c r="AE39" s="230">
        <f t="shared" si="16"/>
        <v>0</v>
      </c>
      <c r="AF39" s="230">
        <f t="shared" si="17"/>
        <v>0</v>
      </c>
      <c r="AG39" s="230">
        <f t="shared" si="18"/>
        <v>0</v>
      </c>
    </row>
    <row r="40" spans="1:33">
      <c r="A40" t="str">
        <f>IF(ABS(H40)&gt;0,基础信息!$B$1,"")</f>
        <v/>
      </c>
      <c r="S40" s="229">
        <f t="shared" si="10"/>
        <v>0</v>
      </c>
      <c r="Z40" s="230">
        <f t="shared" si="11"/>
        <v>0</v>
      </c>
      <c r="AA40" s="230">
        <f t="shared" si="12"/>
        <v>0</v>
      </c>
      <c r="AB40" s="230">
        <f t="shared" si="13"/>
        <v>0</v>
      </c>
      <c r="AC40" s="230">
        <f t="shared" si="14"/>
        <v>0</v>
      </c>
      <c r="AD40" s="230">
        <f t="shared" si="15"/>
        <v>0</v>
      </c>
      <c r="AE40" s="230">
        <f t="shared" si="16"/>
        <v>0</v>
      </c>
      <c r="AF40" s="230">
        <f t="shared" si="17"/>
        <v>0</v>
      </c>
      <c r="AG40" s="230">
        <f t="shared" si="18"/>
        <v>0</v>
      </c>
    </row>
    <row r="41" spans="1:33">
      <c r="A41" t="str">
        <f>IF(ABS(H41)&gt;0,基础信息!$B$1,"")</f>
        <v/>
      </c>
      <c r="S41" s="229">
        <f t="shared" si="10"/>
        <v>0</v>
      </c>
      <c r="Z41" s="230">
        <f t="shared" si="11"/>
        <v>0</v>
      </c>
      <c r="AA41" s="230">
        <f t="shared" si="12"/>
        <v>0</v>
      </c>
      <c r="AB41" s="230">
        <f t="shared" si="13"/>
        <v>0</v>
      </c>
      <c r="AC41" s="230">
        <f t="shared" si="14"/>
        <v>0</v>
      </c>
      <c r="AD41" s="230">
        <f t="shared" si="15"/>
        <v>0</v>
      </c>
      <c r="AE41" s="230">
        <f t="shared" si="16"/>
        <v>0</v>
      </c>
      <c r="AF41" s="230">
        <f t="shared" si="17"/>
        <v>0</v>
      </c>
      <c r="AG41" s="230">
        <f t="shared" si="18"/>
        <v>0</v>
      </c>
    </row>
    <row r="42" spans="1:33">
      <c r="A42" t="str">
        <f>IF(ABS(H42)&gt;0,基础信息!$B$1,"")</f>
        <v/>
      </c>
      <c r="S42" s="229">
        <f t="shared" si="10"/>
        <v>0</v>
      </c>
      <c r="Z42" s="230">
        <f t="shared" si="11"/>
        <v>0</v>
      </c>
      <c r="AA42" s="230">
        <f t="shared" si="12"/>
        <v>0</v>
      </c>
      <c r="AB42" s="230">
        <f t="shared" si="13"/>
        <v>0</v>
      </c>
      <c r="AC42" s="230">
        <f t="shared" si="14"/>
        <v>0</v>
      </c>
      <c r="AD42" s="230">
        <f t="shared" si="15"/>
        <v>0</v>
      </c>
      <c r="AE42" s="230">
        <f t="shared" si="16"/>
        <v>0</v>
      </c>
      <c r="AF42" s="230">
        <f t="shared" si="17"/>
        <v>0</v>
      </c>
      <c r="AG42" s="230">
        <f t="shared" si="18"/>
        <v>0</v>
      </c>
    </row>
    <row r="43" spans="1:33">
      <c r="A43" t="str">
        <f>IF(ABS(H43)&gt;0,基础信息!$B$1,"")</f>
        <v/>
      </c>
      <c r="S43" s="229">
        <f t="shared" si="10"/>
        <v>0</v>
      </c>
      <c r="Z43" s="230">
        <f t="shared" si="11"/>
        <v>0</v>
      </c>
      <c r="AA43" s="230">
        <f t="shared" si="12"/>
        <v>0</v>
      </c>
      <c r="AB43" s="230">
        <f t="shared" si="13"/>
        <v>0</v>
      </c>
      <c r="AC43" s="230">
        <f t="shared" si="14"/>
        <v>0</v>
      </c>
      <c r="AD43" s="230">
        <f t="shared" si="15"/>
        <v>0</v>
      </c>
      <c r="AE43" s="230">
        <f t="shared" si="16"/>
        <v>0</v>
      </c>
      <c r="AF43" s="230">
        <f t="shared" si="17"/>
        <v>0</v>
      </c>
      <c r="AG43" s="230">
        <f t="shared" si="18"/>
        <v>0</v>
      </c>
    </row>
    <row r="44" spans="1:33">
      <c r="A44" t="str">
        <f>IF(ABS(H44)&gt;0,基础信息!$B$1,"")</f>
        <v/>
      </c>
      <c r="S44" s="229">
        <f t="shared" si="10"/>
        <v>0</v>
      </c>
      <c r="Z44" s="230">
        <f t="shared" si="11"/>
        <v>0</v>
      </c>
      <c r="AA44" s="230">
        <f t="shared" si="12"/>
        <v>0</v>
      </c>
      <c r="AB44" s="230">
        <f t="shared" si="13"/>
        <v>0</v>
      </c>
      <c r="AC44" s="230">
        <f t="shared" si="14"/>
        <v>0</v>
      </c>
      <c r="AD44" s="230">
        <f t="shared" si="15"/>
        <v>0</v>
      </c>
      <c r="AE44" s="230">
        <f t="shared" si="16"/>
        <v>0</v>
      </c>
      <c r="AF44" s="230">
        <f t="shared" si="17"/>
        <v>0</v>
      </c>
      <c r="AG44" s="230">
        <f t="shared" si="18"/>
        <v>0</v>
      </c>
    </row>
    <row r="45" spans="1:33">
      <c r="A45" t="str">
        <f>IF(ABS(H45)&gt;0,基础信息!$B$1,"")</f>
        <v/>
      </c>
      <c r="S45" s="229">
        <f t="shared" si="10"/>
        <v>0</v>
      </c>
      <c r="Z45" s="230">
        <f t="shared" si="11"/>
        <v>0</v>
      </c>
      <c r="AA45" s="230">
        <f t="shared" si="12"/>
        <v>0</v>
      </c>
      <c r="AB45" s="230">
        <f t="shared" si="13"/>
        <v>0</v>
      </c>
      <c r="AC45" s="230">
        <f t="shared" si="14"/>
        <v>0</v>
      </c>
      <c r="AD45" s="230">
        <f t="shared" si="15"/>
        <v>0</v>
      </c>
      <c r="AE45" s="230">
        <f t="shared" si="16"/>
        <v>0</v>
      </c>
      <c r="AF45" s="230">
        <f t="shared" si="17"/>
        <v>0</v>
      </c>
      <c r="AG45" s="230">
        <f t="shared" si="18"/>
        <v>0</v>
      </c>
    </row>
    <row r="46" spans="1:33">
      <c r="A46" t="str">
        <f>IF(ABS(H46)&gt;0,基础信息!$B$1,"")</f>
        <v/>
      </c>
      <c r="S46" s="229">
        <f t="shared" si="10"/>
        <v>0</v>
      </c>
      <c r="Z46" s="230">
        <f t="shared" si="11"/>
        <v>0</v>
      </c>
      <c r="AA46" s="230">
        <f t="shared" si="12"/>
        <v>0</v>
      </c>
      <c r="AB46" s="230">
        <f t="shared" si="13"/>
        <v>0</v>
      </c>
      <c r="AC46" s="230">
        <f t="shared" si="14"/>
        <v>0</v>
      </c>
      <c r="AD46" s="230">
        <f t="shared" si="15"/>
        <v>0</v>
      </c>
      <c r="AE46" s="230">
        <f t="shared" si="16"/>
        <v>0</v>
      </c>
      <c r="AF46" s="230">
        <f t="shared" si="17"/>
        <v>0</v>
      </c>
      <c r="AG46" s="230">
        <f t="shared" si="18"/>
        <v>0</v>
      </c>
    </row>
    <row r="47" spans="1:33">
      <c r="A47" t="str">
        <f>IF(ABS(H47)&gt;0,基础信息!$B$1,"")</f>
        <v/>
      </c>
      <c r="S47" s="229">
        <f t="shared" si="10"/>
        <v>0</v>
      </c>
      <c r="Z47" s="230">
        <f t="shared" si="11"/>
        <v>0</v>
      </c>
      <c r="AA47" s="230">
        <f t="shared" si="12"/>
        <v>0</v>
      </c>
      <c r="AB47" s="230">
        <f t="shared" si="13"/>
        <v>0</v>
      </c>
      <c r="AC47" s="230">
        <f t="shared" si="14"/>
        <v>0</v>
      </c>
      <c r="AD47" s="230">
        <f t="shared" si="15"/>
        <v>0</v>
      </c>
      <c r="AE47" s="230">
        <f t="shared" si="16"/>
        <v>0</v>
      </c>
      <c r="AF47" s="230">
        <f t="shared" si="17"/>
        <v>0</v>
      </c>
      <c r="AG47" s="230">
        <f t="shared" si="18"/>
        <v>0</v>
      </c>
    </row>
    <row r="48" spans="1:33">
      <c r="A48" t="str">
        <f>IF(ABS(H48)&gt;0,基础信息!$B$1,"")</f>
        <v/>
      </c>
      <c r="S48" s="229">
        <f t="shared" si="10"/>
        <v>0</v>
      </c>
      <c r="Z48" s="230">
        <f t="shared" si="11"/>
        <v>0</v>
      </c>
      <c r="AA48" s="230">
        <f t="shared" si="12"/>
        <v>0</v>
      </c>
      <c r="AB48" s="230">
        <f t="shared" si="13"/>
        <v>0</v>
      </c>
      <c r="AC48" s="230">
        <f t="shared" si="14"/>
        <v>0</v>
      </c>
      <c r="AD48" s="230">
        <f t="shared" si="15"/>
        <v>0</v>
      </c>
      <c r="AE48" s="230">
        <f t="shared" si="16"/>
        <v>0</v>
      </c>
      <c r="AF48" s="230">
        <f t="shared" si="17"/>
        <v>0</v>
      </c>
      <c r="AG48" s="230">
        <f t="shared" si="18"/>
        <v>0</v>
      </c>
    </row>
    <row r="49" spans="1:33">
      <c r="A49" t="str">
        <f>IF(ABS(H49)&gt;0,基础信息!$B$1,"")</f>
        <v/>
      </c>
      <c r="S49" s="229">
        <f t="shared" si="10"/>
        <v>0</v>
      </c>
      <c r="Z49" s="230">
        <f t="shared" si="11"/>
        <v>0</v>
      </c>
      <c r="AA49" s="230">
        <f t="shared" si="12"/>
        <v>0</v>
      </c>
      <c r="AB49" s="230">
        <f t="shared" si="13"/>
        <v>0</v>
      </c>
      <c r="AC49" s="230">
        <f t="shared" si="14"/>
        <v>0</v>
      </c>
      <c r="AD49" s="230">
        <f t="shared" si="15"/>
        <v>0</v>
      </c>
      <c r="AE49" s="230">
        <f t="shared" si="16"/>
        <v>0</v>
      </c>
      <c r="AF49" s="230">
        <f t="shared" si="17"/>
        <v>0</v>
      </c>
      <c r="AG49" s="230">
        <f t="shared" si="18"/>
        <v>0</v>
      </c>
    </row>
    <row r="50" spans="1:33">
      <c r="A50" t="str">
        <f>IF(ABS(H50)&gt;0,基础信息!$B$1,"")</f>
        <v/>
      </c>
      <c r="S50" s="229">
        <f t="shared" si="10"/>
        <v>0</v>
      </c>
      <c r="Z50" s="230">
        <f t="shared" si="11"/>
        <v>0</v>
      </c>
      <c r="AA50" s="230">
        <f t="shared" si="12"/>
        <v>0</v>
      </c>
      <c r="AB50" s="230">
        <f t="shared" si="13"/>
        <v>0</v>
      </c>
      <c r="AC50" s="230">
        <f t="shared" si="14"/>
        <v>0</v>
      </c>
      <c r="AD50" s="230">
        <f t="shared" si="15"/>
        <v>0</v>
      </c>
      <c r="AE50" s="230">
        <f t="shared" si="16"/>
        <v>0</v>
      </c>
      <c r="AF50" s="230">
        <f t="shared" si="17"/>
        <v>0</v>
      </c>
      <c r="AG50" s="230">
        <f t="shared" si="18"/>
        <v>0</v>
      </c>
    </row>
    <row r="51" spans="1:33">
      <c r="A51" t="str">
        <f>IF(ABS(H51)&gt;0,基础信息!$B$1,"")</f>
        <v/>
      </c>
      <c r="S51" s="229">
        <f t="shared" si="10"/>
        <v>0</v>
      </c>
      <c r="Z51" s="230">
        <f t="shared" si="11"/>
        <v>0</v>
      </c>
      <c r="AA51" s="230">
        <f t="shared" si="12"/>
        <v>0</v>
      </c>
      <c r="AB51" s="230">
        <f t="shared" si="13"/>
        <v>0</v>
      </c>
      <c r="AC51" s="230">
        <f t="shared" si="14"/>
        <v>0</v>
      </c>
      <c r="AD51" s="230">
        <f t="shared" si="15"/>
        <v>0</v>
      </c>
      <c r="AE51" s="230">
        <f t="shared" si="16"/>
        <v>0</v>
      </c>
      <c r="AF51" s="230">
        <f t="shared" si="17"/>
        <v>0</v>
      </c>
      <c r="AG51" s="230">
        <f t="shared" si="18"/>
        <v>0</v>
      </c>
    </row>
    <row r="52" spans="1:33">
      <c r="A52" t="str">
        <f>IF(ABS(H52)&gt;0,基础信息!$B$1,"")</f>
        <v/>
      </c>
      <c r="S52" s="229">
        <f t="shared" si="10"/>
        <v>0</v>
      </c>
      <c r="Z52" s="230">
        <f t="shared" si="11"/>
        <v>0</v>
      </c>
      <c r="AA52" s="230">
        <f t="shared" si="12"/>
        <v>0</v>
      </c>
      <c r="AB52" s="230">
        <f t="shared" si="13"/>
        <v>0</v>
      </c>
      <c r="AC52" s="230">
        <f t="shared" si="14"/>
        <v>0</v>
      </c>
      <c r="AD52" s="230">
        <f t="shared" si="15"/>
        <v>0</v>
      </c>
      <c r="AE52" s="230">
        <f t="shared" si="16"/>
        <v>0</v>
      </c>
      <c r="AF52" s="230">
        <f t="shared" si="17"/>
        <v>0</v>
      </c>
      <c r="AG52" s="230">
        <f t="shared" si="18"/>
        <v>0</v>
      </c>
    </row>
    <row r="53" spans="1:33">
      <c r="A53" t="str">
        <f>IF(ABS(H53)&gt;0,基础信息!$B$1,"")</f>
        <v/>
      </c>
      <c r="S53" s="229">
        <f t="shared" si="10"/>
        <v>0</v>
      </c>
      <c r="Z53" s="230">
        <f t="shared" si="11"/>
        <v>0</v>
      </c>
      <c r="AA53" s="230">
        <f t="shared" si="12"/>
        <v>0</v>
      </c>
      <c r="AB53" s="230">
        <f t="shared" si="13"/>
        <v>0</v>
      </c>
      <c r="AC53" s="230">
        <f t="shared" si="14"/>
        <v>0</v>
      </c>
      <c r="AD53" s="230">
        <f t="shared" si="15"/>
        <v>0</v>
      </c>
      <c r="AE53" s="230">
        <f t="shared" si="16"/>
        <v>0</v>
      </c>
      <c r="AF53" s="230">
        <f t="shared" si="17"/>
        <v>0</v>
      </c>
      <c r="AG53" s="230">
        <f t="shared" si="18"/>
        <v>0</v>
      </c>
    </row>
    <row r="54" spans="1:33">
      <c r="A54" t="str">
        <f>IF(ABS(H54)&gt;0,基础信息!$B$1,"")</f>
        <v/>
      </c>
      <c r="S54" s="229">
        <f t="shared" si="10"/>
        <v>0</v>
      </c>
      <c r="Z54" s="230">
        <f t="shared" si="11"/>
        <v>0</v>
      </c>
      <c r="AA54" s="230">
        <f t="shared" si="12"/>
        <v>0</v>
      </c>
      <c r="AB54" s="230">
        <f t="shared" si="13"/>
        <v>0</v>
      </c>
      <c r="AC54" s="230">
        <f t="shared" si="14"/>
        <v>0</v>
      </c>
      <c r="AD54" s="230">
        <f t="shared" si="15"/>
        <v>0</v>
      </c>
      <c r="AE54" s="230">
        <f t="shared" si="16"/>
        <v>0</v>
      </c>
      <c r="AF54" s="230">
        <f t="shared" si="17"/>
        <v>0</v>
      </c>
      <c r="AG54" s="230">
        <f t="shared" si="18"/>
        <v>0</v>
      </c>
    </row>
    <row r="55" spans="1:33">
      <c r="A55" t="str">
        <f>IF(ABS(H55)&gt;0,基础信息!$B$1,"")</f>
        <v/>
      </c>
      <c r="S55" s="229">
        <f t="shared" si="10"/>
        <v>0</v>
      </c>
      <c r="Z55" s="230">
        <f t="shared" si="11"/>
        <v>0</v>
      </c>
      <c r="AA55" s="230">
        <f t="shared" si="12"/>
        <v>0</v>
      </c>
      <c r="AB55" s="230">
        <f t="shared" si="13"/>
        <v>0</v>
      </c>
      <c r="AC55" s="230">
        <f t="shared" si="14"/>
        <v>0</v>
      </c>
      <c r="AD55" s="230">
        <f t="shared" si="15"/>
        <v>0</v>
      </c>
      <c r="AE55" s="230">
        <f t="shared" si="16"/>
        <v>0</v>
      </c>
      <c r="AF55" s="230">
        <f t="shared" si="17"/>
        <v>0</v>
      </c>
      <c r="AG55" s="230">
        <f t="shared" si="18"/>
        <v>0</v>
      </c>
    </row>
    <row r="56" spans="1:33">
      <c r="A56" t="str">
        <f>IF(ABS(H56)&gt;0,基础信息!$B$1,"")</f>
        <v/>
      </c>
      <c r="S56" s="229">
        <f t="shared" si="10"/>
        <v>0</v>
      </c>
      <c r="Z56" s="230">
        <f t="shared" si="11"/>
        <v>0</v>
      </c>
      <c r="AA56" s="230">
        <f t="shared" si="12"/>
        <v>0</v>
      </c>
      <c r="AB56" s="230">
        <f t="shared" si="13"/>
        <v>0</v>
      </c>
      <c r="AC56" s="230">
        <f t="shared" si="14"/>
        <v>0</v>
      </c>
      <c r="AD56" s="230">
        <f t="shared" si="15"/>
        <v>0</v>
      </c>
      <c r="AE56" s="230">
        <f t="shared" si="16"/>
        <v>0</v>
      </c>
      <c r="AF56" s="230">
        <f t="shared" si="17"/>
        <v>0</v>
      </c>
      <c r="AG56" s="230">
        <f t="shared" si="18"/>
        <v>0</v>
      </c>
    </row>
    <row r="57" spans="1:33">
      <c r="A57" t="str">
        <f>IF(ABS(H57)&gt;0,基础信息!$B$1,"")</f>
        <v/>
      </c>
      <c r="S57" s="229">
        <f t="shared" si="10"/>
        <v>0</v>
      </c>
      <c r="Z57" s="230">
        <f t="shared" si="11"/>
        <v>0</v>
      </c>
      <c r="AA57" s="230">
        <f t="shared" si="12"/>
        <v>0</v>
      </c>
      <c r="AB57" s="230">
        <f t="shared" si="13"/>
        <v>0</v>
      </c>
      <c r="AC57" s="230">
        <f t="shared" si="14"/>
        <v>0</v>
      </c>
      <c r="AD57" s="230">
        <f t="shared" si="15"/>
        <v>0</v>
      </c>
      <c r="AE57" s="230">
        <f t="shared" si="16"/>
        <v>0</v>
      </c>
      <c r="AF57" s="230">
        <f t="shared" si="17"/>
        <v>0</v>
      </c>
      <c r="AG57" s="230">
        <f t="shared" si="18"/>
        <v>0</v>
      </c>
    </row>
    <row r="58" spans="1:33">
      <c r="A58" t="str">
        <f>IF(ABS(H58)&gt;0,基础信息!$B$1,"")</f>
        <v/>
      </c>
      <c r="S58" s="229">
        <f t="shared" si="10"/>
        <v>0</v>
      </c>
      <c r="Z58" s="230">
        <f t="shared" si="11"/>
        <v>0</v>
      </c>
      <c r="AA58" s="230">
        <f t="shared" si="12"/>
        <v>0</v>
      </c>
      <c r="AB58" s="230">
        <f t="shared" si="13"/>
        <v>0</v>
      </c>
      <c r="AC58" s="230">
        <f t="shared" si="14"/>
        <v>0</v>
      </c>
      <c r="AD58" s="230">
        <f t="shared" si="15"/>
        <v>0</v>
      </c>
      <c r="AE58" s="230">
        <f t="shared" si="16"/>
        <v>0</v>
      </c>
      <c r="AF58" s="230">
        <f t="shared" si="17"/>
        <v>0</v>
      </c>
      <c r="AG58" s="230">
        <f t="shared" si="18"/>
        <v>0</v>
      </c>
    </row>
    <row r="59" spans="1:33">
      <c r="A59" t="str">
        <f>IF(ABS(H59)&gt;0,基础信息!$B$1,"")</f>
        <v/>
      </c>
      <c r="S59" s="229">
        <f t="shared" si="10"/>
        <v>0</v>
      </c>
      <c r="Z59" s="230">
        <f t="shared" si="11"/>
        <v>0</v>
      </c>
      <c r="AA59" s="230">
        <f t="shared" si="12"/>
        <v>0</v>
      </c>
      <c r="AB59" s="230">
        <f t="shared" si="13"/>
        <v>0</v>
      </c>
      <c r="AC59" s="230">
        <f t="shared" si="14"/>
        <v>0</v>
      </c>
      <c r="AD59" s="230">
        <f t="shared" si="15"/>
        <v>0</v>
      </c>
      <c r="AE59" s="230">
        <f t="shared" si="16"/>
        <v>0</v>
      </c>
      <c r="AF59" s="230">
        <f t="shared" si="17"/>
        <v>0</v>
      </c>
      <c r="AG59" s="230">
        <f t="shared" si="18"/>
        <v>0</v>
      </c>
    </row>
    <row r="60" spans="1:33">
      <c r="A60" t="str">
        <f>IF(ABS(H60)&gt;0,基础信息!$B$1,"")</f>
        <v/>
      </c>
      <c r="S60" s="229">
        <f t="shared" si="10"/>
        <v>0</v>
      </c>
      <c r="Z60" s="230">
        <f t="shared" si="11"/>
        <v>0</v>
      </c>
      <c r="AA60" s="230">
        <f t="shared" si="12"/>
        <v>0</v>
      </c>
      <c r="AB60" s="230">
        <f t="shared" si="13"/>
        <v>0</v>
      </c>
      <c r="AC60" s="230">
        <f t="shared" si="14"/>
        <v>0</v>
      </c>
      <c r="AD60" s="230">
        <f t="shared" si="15"/>
        <v>0</v>
      </c>
      <c r="AE60" s="230">
        <f t="shared" si="16"/>
        <v>0</v>
      </c>
      <c r="AF60" s="230">
        <f t="shared" si="17"/>
        <v>0</v>
      </c>
      <c r="AG60" s="230">
        <f t="shared" si="18"/>
        <v>0</v>
      </c>
    </row>
    <row r="61" spans="1:33">
      <c r="A61" t="str">
        <f>IF(ABS(H61)&gt;0,基础信息!$B$1,"")</f>
        <v/>
      </c>
      <c r="S61" s="229">
        <f t="shared" si="10"/>
        <v>0</v>
      </c>
      <c r="Z61" s="230">
        <f t="shared" si="11"/>
        <v>0</v>
      </c>
      <c r="AA61" s="230">
        <f t="shared" si="12"/>
        <v>0</v>
      </c>
      <c r="AB61" s="230">
        <f t="shared" si="13"/>
        <v>0</v>
      </c>
      <c r="AC61" s="230">
        <f t="shared" si="14"/>
        <v>0</v>
      </c>
      <c r="AD61" s="230">
        <f t="shared" si="15"/>
        <v>0</v>
      </c>
      <c r="AE61" s="230">
        <f t="shared" si="16"/>
        <v>0</v>
      </c>
      <c r="AF61" s="230">
        <f t="shared" si="17"/>
        <v>0</v>
      </c>
      <c r="AG61" s="230">
        <f t="shared" si="18"/>
        <v>0</v>
      </c>
    </row>
    <row r="62" spans="1:33">
      <c r="A62" t="str">
        <f>IF(ABS(H62)&gt;0,基础信息!$B$1,"")</f>
        <v/>
      </c>
      <c r="S62" s="229">
        <f t="shared" si="10"/>
        <v>0</v>
      </c>
      <c r="Z62" s="230">
        <f t="shared" si="11"/>
        <v>0</v>
      </c>
      <c r="AA62" s="230">
        <f t="shared" si="12"/>
        <v>0</v>
      </c>
      <c r="AB62" s="230">
        <f t="shared" si="13"/>
        <v>0</v>
      </c>
      <c r="AC62" s="230">
        <f t="shared" si="14"/>
        <v>0</v>
      </c>
      <c r="AD62" s="230">
        <f t="shared" si="15"/>
        <v>0</v>
      </c>
      <c r="AE62" s="230">
        <f t="shared" si="16"/>
        <v>0</v>
      </c>
      <c r="AF62" s="230">
        <f t="shared" si="17"/>
        <v>0</v>
      </c>
      <c r="AG62" s="230">
        <f t="shared" si="18"/>
        <v>0</v>
      </c>
    </row>
    <row r="63" spans="1:33">
      <c r="A63" t="str">
        <f>IF(ABS(H63)&gt;0,基础信息!$B$1,"")</f>
        <v/>
      </c>
      <c r="S63" s="229">
        <f t="shared" si="10"/>
        <v>0</v>
      </c>
      <c r="Z63" s="230">
        <f t="shared" si="11"/>
        <v>0</v>
      </c>
      <c r="AA63" s="230">
        <f t="shared" si="12"/>
        <v>0</v>
      </c>
      <c r="AB63" s="230">
        <f t="shared" si="13"/>
        <v>0</v>
      </c>
      <c r="AC63" s="230">
        <f t="shared" si="14"/>
        <v>0</v>
      </c>
      <c r="AD63" s="230">
        <f t="shared" si="15"/>
        <v>0</v>
      </c>
      <c r="AE63" s="230">
        <f t="shared" si="16"/>
        <v>0</v>
      </c>
      <c r="AF63" s="230">
        <f t="shared" si="17"/>
        <v>0</v>
      </c>
      <c r="AG63" s="230">
        <f t="shared" si="18"/>
        <v>0</v>
      </c>
    </row>
    <row r="64" spans="1:33">
      <c r="A64" t="str">
        <f>IF(ABS(H64)&gt;0,基础信息!$B$1,"")</f>
        <v/>
      </c>
      <c r="S64" s="229">
        <f t="shared" si="10"/>
        <v>0</v>
      </c>
      <c r="Z64" s="230">
        <f t="shared" si="11"/>
        <v>0</v>
      </c>
      <c r="AA64" s="230">
        <f t="shared" si="12"/>
        <v>0</v>
      </c>
      <c r="AB64" s="230">
        <f t="shared" si="13"/>
        <v>0</v>
      </c>
      <c r="AC64" s="230">
        <f t="shared" si="14"/>
        <v>0</v>
      </c>
      <c r="AD64" s="230">
        <f t="shared" si="15"/>
        <v>0</v>
      </c>
      <c r="AE64" s="230">
        <f t="shared" si="16"/>
        <v>0</v>
      </c>
      <c r="AF64" s="230">
        <f t="shared" si="17"/>
        <v>0</v>
      </c>
      <c r="AG64" s="230">
        <f t="shared" si="18"/>
        <v>0</v>
      </c>
    </row>
    <row r="65" spans="1:33">
      <c r="A65" t="str">
        <f>IF(ABS(H65)&gt;0,基础信息!$B$1,"")</f>
        <v/>
      </c>
      <c r="S65" s="229">
        <f t="shared" si="10"/>
        <v>0</v>
      </c>
      <c r="Z65" s="230">
        <f t="shared" si="11"/>
        <v>0</v>
      </c>
      <c r="AA65" s="230">
        <f t="shared" si="12"/>
        <v>0</v>
      </c>
      <c r="AB65" s="230">
        <f t="shared" si="13"/>
        <v>0</v>
      </c>
      <c r="AC65" s="230">
        <f t="shared" si="14"/>
        <v>0</v>
      </c>
      <c r="AD65" s="230">
        <f t="shared" si="15"/>
        <v>0</v>
      </c>
      <c r="AE65" s="230">
        <f t="shared" si="16"/>
        <v>0</v>
      </c>
      <c r="AF65" s="230">
        <f t="shared" si="17"/>
        <v>0</v>
      </c>
      <c r="AG65" s="230">
        <f t="shared" si="18"/>
        <v>0</v>
      </c>
    </row>
    <row r="66" spans="1:33">
      <c r="A66" t="str">
        <f>IF(ABS(H66)&gt;0,基础信息!$B$1,"")</f>
        <v/>
      </c>
      <c r="S66" s="229">
        <f t="shared" si="10"/>
        <v>0</v>
      </c>
      <c r="Z66" s="230">
        <f t="shared" si="11"/>
        <v>0</v>
      </c>
      <c r="AA66" s="230">
        <f t="shared" si="12"/>
        <v>0</v>
      </c>
      <c r="AB66" s="230">
        <f t="shared" si="13"/>
        <v>0</v>
      </c>
      <c r="AC66" s="230">
        <f t="shared" si="14"/>
        <v>0</v>
      </c>
      <c r="AD66" s="230">
        <f t="shared" si="15"/>
        <v>0</v>
      </c>
      <c r="AE66" s="230">
        <f t="shared" si="16"/>
        <v>0</v>
      </c>
      <c r="AF66" s="230">
        <f t="shared" si="17"/>
        <v>0</v>
      </c>
      <c r="AG66" s="230">
        <f t="shared" si="18"/>
        <v>0</v>
      </c>
    </row>
    <row r="67" spans="1:33">
      <c r="A67" t="str">
        <f>IF(ABS(H67)&gt;0,基础信息!$B$1,"")</f>
        <v/>
      </c>
      <c r="S67" s="229">
        <f t="shared" si="10"/>
        <v>0</v>
      </c>
      <c r="Z67" s="230">
        <f t="shared" si="11"/>
        <v>0</v>
      </c>
      <c r="AA67" s="230">
        <f t="shared" si="12"/>
        <v>0</v>
      </c>
      <c r="AB67" s="230">
        <f t="shared" si="13"/>
        <v>0</v>
      </c>
      <c r="AC67" s="230">
        <f t="shared" si="14"/>
        <v>0</v>
      </c>
      <c r="AD67" s="230">
        <f t="shared" si="15"/>
        <v>0</v>
      </c>
      <c r="AE67" s="230">
        <f t="shared" si="16"/>
        <v>0</v>
      </c>
      <c r="AF67" s="230">
        <f t="shared" si="17"/>
        <v>0</v>
      </c>
      <c r="AG67" s="230">
        <f t="shared" si="18"/>
        <v>0</v>
      </c>
    </row>
    <row r="68" spans="1:33">
      <c r="A68" t="str">
        <f>IF(ABS(H68)&gt;0,基础信息!$B$1,"")</f>
        <v/>
      </c>
      <c r="S68" s="229">
        <f t="shared" si="10"/>
        <v>0</v>
      </c>
      <c r="Z68" s="230">
        <f t="shared" si="11"/>
        <v>0</v>
      </c>
      <c r="AA68" s="230">
        <f t="shared" si="12"/>
        <v>0</v>
      </c>
      <c r="AB68" s="230">
        <f t="shared" si="13"/>
        <v>0</v>
      </c>
      <c r="AC68" s="230">
        <f t="shared" si="14"/>
        <v>0</v>
      </c>
      <c r="AD68" s="230">
        <f t="shared" si="15"/>
        <v>0</v>
      </c>
      <c r="AE68" s="230">
        <f t="shared" si="16"/>
        <v>0</v>
      </c>
      <c r="AF68" s="230">
        <f t="shared" si="17"/>
        <v>0</v>
      </c>
      <c r="AG68" s="230">
        <f t="shared" si="18"/>
        <v>0</v>
      </c>
    </row>
    <row r="69" spans="1:33">
      <c r="A69" t="str">
        <f>IF(ABS(H69)&gt;0,基础信息!$B$1,"")</f>
        <v/>
      </c>
      <c r="S69" s="229">
        <f t="shared" si="10"/>
        <v>0</v>
      </c>
      <c r="Z69" s="230">
        <f t="shared" si="11"/>
        <v>0</v>
      </c>
      <c r="AA69" s="230">
        <f t="shared" si="12"/>
        <v>0</v>
      </c>
      <c r="AB69" s="230">
        <f t="shared" si="13"/>
        <v>0</v>
      </c>
      <c r="AC69" s="230">
        <f t="shared" si="14"/>
        <v>0</v>
      </c>
      <c r="AD69" s="230">
        <f t="shared" si="15"/>
        <v>0</v>
      </c>
      <c r="AE69" s="230">
        <f t="shared" si="16"/>
        <v>0</v>
      </c>
      <c r="AF69" s="230">
        <f t="shared" si="17"/>
        <v>0</v>
      </c>
      <c r="AG69" s="230">
        <f t="shared" si="18"/>
        <v>0</v>
      </c>
    </row>
    <row r="70" spans="1:33">
      <c r="A70" t="str">
        <f>IF(ABS(H70)&gt;0,基础信息!$B$1,"")</f>
        <v/>
      </c>
      <c r="S70" s="229">
        <f t="shared" si="10"/>
        <v>0</v>
      </c>
      <c r="Z70" s="230">
        <f t="shared" si="11"/>
        <v>0</v>
      </c>
      <c r="AA70" s="230">
        <f t="shared" si="12"/>
        <v>0</v>
      </c>
      <c r="AB70" s="230">
        <f t="shared" si="13"/>
        <v>0</v>
      </c>
      <c r="AC70" s="230">
        <f t="shared" si="14"/>
        <v>0</v>
      </c>
      <c r="AD70" s="230">
        <f t="shared" si="15"/>
        <v>0</v>
      </c>
      <c r="AE70" s="230">
        <f t="shared" si="16"/>
        <v>0</v>
      </c>
      <c r="AF70" s="230">
        <f t="shared" si="17"/>
        <v>0</v>
      </c>
      <c r="AG70" s="230">
        <f t="shared" si="18"/>
        <v>0</v>
      </c>
    </row>
    <row r="71" spans="1:33">
      <c r="A71" t="str">
        <f>IF(ABS(H71)&gt;0,基础信息!$B$1,"")</f>
        <v/>
      </c>
      <c r="S71" s="229">
        <f t="shared" si="10"/>
        <v>0</v>
      </c>
      <c r="Z71" s="230">
        <f t="shared" si="11"/>
        <v>0</v>
      </c>
      <c r="AA71" s="230">
        <f t="shared" si="12"/>
        <v>0</v>
      </c>
      <c r="AB71" s="230">
        <f t="shared" si="13"/>
        <v>0</v>
      </c>
      <c r="AC71" s="230">
        <f t="shared" si="14"/>
        <v>0</v>
      </c>
      <c r="AD71" s="230">
        <f t="shared" si="15"/>
        <v>0</v>
      </c>
      <c r="AE71" s="230">
        <f t="shared" si="16"/>
        <v>0</v>
      </c>
      <c r="AF71" s="230">
        <f t="shared" si="17"/>
        <v>0</v>
      </c>
      <c r="AG71" s="230">
        <f t="shared" si="18"/>
        <v>0</v>
      </c>
    </row>
    <row r="72" spans="1:33">
      <c r="A72" t="str">
        <f>IF(ABS(H72)&gt;0,基础信息!$B$1,"")</f>
        <v/>
      </c>
      <c r="S72" s="229">
        <f t="shared" si="10"/>
        <v>0</v>
      </c>
      <c r="Z72" s="230">
        <f t="shared" si="11"/>
        <v>0</v>
      </c>
      <c r="AA72" s="230">
        <f t="shared" si="12"/>
        <v>0</v>
      </c>
      <c r="AB72" s="230">
        <f t="shared" si="13"/>
        <v>0</v>
      </c>
      <c r="AC72" s="230">
        <f t="shared" si="14"/>
        <v>0</v>
      </c>
      <c r="AD72" s="230">
        <f t="shared" si="15"/>
        <v>0</v>
      </c>
      <c r="AE72" s="230">
        <f t="shared" si="16"/>
        <v>0</v>
      </c>
      <c r="AF72" s="230">
        <f t="shared" si="17"/>
        <v>0</v>
      </c>
      <c r="AG72" s="230">
        <f t="shared" si="18"/>
        <v>0</v>
      </c>
    </row>
    <row r="73" spans="1:33">
      <c r="A73" t="str">
        <f>IF(ABS(H73)&gt;0,基础信息!$B$1,"")</f>
        <v/>
      </c>
      <c r="S73" s="229">
        <f t="shared" si="10"/>
        <v>0</v>
      </c>
      <c r="Z73" s="230">
        <f t="shared" si="11"/>
        <v>0</v>
      </c>
      <c r="AA73" s="230">
        <f t="shared" si="12"/>
        <v>0</v>
      </c>
      <c r="AB73" s="230">
        <f t="shared" si="13"/>
        <v>0</v>
      </c>
      <c r="AC73" s="230">
        <f t="shared" si="14"/>
        <v>0</v>
      </c>
      <c r="AD73" s="230">
        <f t="shared" si="15"/>
        <v>0</v>
      </c>
      <c r="AE73" s="230">
        <f t="shared" si="16"/>
        <v>0</v>
      </c>
      <c r="AF73" s="230">
        <f t="shared" si="17"/>
        <v>0</v>
      </c>
      <c r="AG73" s="230">
        <f t="shared" si="18"/>
        <v>0</v>
      </c>
    </row>
    <row r="74" spans="1:33">
      <c r="A74" t="str">
        <f>IF(ABS(H74)&gt;0,基础信息!$B$1,"")</f>
        <v/>
      </c>
      <c r="S74" s="229">
        <f t="shared" si="10"/>
        <v>0</v>
      </c>
      <c r="Z74" s="230">
        <f t="shared" si="11"/>
        <v>0</v>
      </c>
      <c r="AA74" s="230">
        <f t="shared" si="12"/>
        <v>0</v>
      </c>
      <c r="AB74" s="230">
        <f t="shared" si="13"/>
        <v>0</v>
      </c>
      <c r="AC74" s="230">
        <f t="shared" si="14"/>
        <v>0</v>
      </c>
      <c r="AD74" s="230">
        <f t="shared" si="15"/>
        <v>0</v>
      </c>
      <c r="AE74" s="230">
        <f t="shared" si="16"/>
        <v>0</v>
      </c>
      <c r="AF74" s="230">
        <f t="shared" si="17"/>
        <v>0</v>
      </c>
      <c r="AG74" s="230">
        <f t="shared" si="18"/>
        <v>0</v>
      </c>
    </row>
    <row r="75" spans="1:33">
      <c r="A75" t="str">
        <f>IF(ABS(H75)&gt;0,基础信息!$B$1,"")</f>
        <v/>
      </c>
      <c r="S75" s="229">
        <f t="shared" si="10"/>
        <v>0</v>
      </c>
      <c r="Z75" s="230">
        <f t="shared" si="11"/>
        <v>0</v>
      </c>
      <c r="AA75" s="230">
        <f t="shared" si="12"/>
        <v>0</v>
      </c>
      <c r="AB75" s="230">
        <f t="shared" si="13"/>
        <v>0</v>
      </c>
      <c r="AC75" s="230">
        <f t="shared" si="14"/>
        <v>0</v>
      </c>
      <c r="AD75" s="230">
        <f t="shared" si="15"/>
        <v>0</v>
      </c>
      <c r="AE75" s="230">
        <f t="shared" si="16"/>
        <v>0</v>
      </c>
      <c r="AF75" s="230">
        <f t="shared" si="17"/>
        <v>0</v>
      </c>
      <c r="AG75" s="230">
        <f t="shared" si="18"/>
        <v>0</v>
      </c>
    </row>
    <row r="76" spans="1:33">
      <c r="A76" t="str">
        <f>IF(ABS(H76)&gt;0,基础信息!$B$1,"")</f>
        <v/>
      </c>
      <c r="S76" s="229">
        <f t="shared" si="10"/>
        <v>0</v>
      </c>
      <c r="Z76" s="230">
        <f t="shared" si="11"/>
        <v>0</v>
      </c>
      <c r="AA76" s="230">
        <f t="shared" si="12"/>
        <v>0</v>
      </c>
      <c r="AB76" s="230">
        <f t="shared" si="13"/>
        <v>0</v>
      </c>
      <c r="AC76" s="230">
        <f t="shared" si="14"/>
        <v>0</v>
      </c>
      <c r="AD76" s="230">
        <f t="shared" si="15"/>
        <v>0</v>
      </c>
      <c r="AE76" s="230">
        <f t="shared" si="16"/>
        <v>0</v>
      </c>
      <c r="AF76" s="230">
        <f t="shared" si="17"/>
        <v>0</v>
      </c>
      <c r="AG76" s="230">
        <f t="shared" si="18"/>
        <v>0</v>
      </c>
    </row>
    <row r="77" spans="1:33">
      <c r="A77" t="str">
        <f>IF(ABS(H77)&gt;0,基础信息!$B$1,"")</f>
        <v/>
      </c>
      <c r="S77" s="229">
        <f t="shared" si="10"/>
        <v>0</v>
      </c>
      <c r="Z77" s="230">
        <f t="shared" si="11"/>
        <v>0</v>
      </c>
      <c r="AA77" s="230">
        <f t="shared" si="12"/>
        <v>0</v>
      </c>
      <c r="AB77" s="230">
        <f t="shared" si="13"/>
        <v>0</v>
      </c>
      <c r="AC77" s="230">
        <f t="shared" si="14"/>
        <v>0</v>
      </c>
      <c r="AD77" s="230">
        <f t="shared" si="15"/>
        <v>0</v>
      </c>
      <c r="AE77" s="230">
        <f t="shared" si="16"/>
        <v>0</v>
      </c>
      <c r="AF77" s="230">
        <f t="shared" si="17"/>
        <v>0</v>
      </c>
      <c r="AG77" s="230">
        <f t="shared" si="18"/>
        <v>0</v>
      </c>
    </row>
    <row r="78" spans="1:33">
      <c r="A78" t="str">
        <f>IF(ABS(H78)&gt;0,基础信息!$B$1,"")</f>
        <v/>
      </c>
      <c r="S78" s="229">
        <f t="shared" si="10"/>
        <v>0</v>
      </c>
      <c r="Z78" s="230">
        <f t="shared" si="11"/>
        <v>0</v>
      </c>
      <c r="AA78" s="230">
        <f t="shared" si="12"/>
        <v>0</v>
      </c>
      <c r="AB78" s="230">
        <f t="shared" si="13"/>
        <v>0</v>
      </c>
      <c r="AC78" s="230">
        <f t="shared" si="14"/>
        <v>0</v>
      </c>
      <c r="AD78" s="230">
        <f t="shared" si="15"/>
        <v>0</v>
      </c>
      <c r="AE78" s="230">
        <f t="shared" si="16"/>
        <v>0</v>
      </c>
      <c r="AF78" s="230">
        <f t="shared" si="17"/>
        <v>0</v>
      </c>
      <c r="AG78" s="230">
        <f t="shared" si="18"/>
        <v>0</v>
      </c>
    </row>
    <row r="79" spans="1:33">
      <c r="A79" t="str">
        <f>IF(ABS(H79)&gt;0,基础信息!$B$1,"")</f>
        <v/>
      </c>
      <c r="S79" s="229">
        <f t="shared" si="10"/>
        <v>0</v>
      </c>
      <c r="Z79" s="230">
        <f t="shared" si="11"/>
        <v>0</v>
      </c>
      <c r="AA79" s="230">
        <f t="shared" si="12"/>
        <v>0</v>
      </c>
      <c r="AB79" s="230">
        <f t="shared" si="13"/>
        <v>0</v>
      </c>
      <c r="AC79" s="230">
        <f t="shared" si="14"/>
        <v>0</v>
      </c>
      <c r="AD79" s="230">
        <f t="shared" si="15"/>
        <v>0</v>
      </c>
      <c r="AE79" s="230">
        <f t="shared" si="16"/>
        <v>0</v>
      </c>
      <c r="AF79" s="230">
        <f t="shared" si="17"/>
        <v>0</v>
      </c>
      <c r="AG79" s="230">
        <f t="shared" si="18"/>
        <v>0</v>
      </c>
    </row>
    <row r="80" spans="1:33">
      <c r="A80" t="str">
        <f>IF(ABS(H80)&gt;0,基础信息!$B$1,"")</f>
        <v/>
      </c>
      <c r="S80" s="229">
        <f t="shared" si="10"/>
        <v>0</v>
      </c>
      <c r="Z80" s="230">
        <f t="shared" si="11"/>
        <v>0</v>
      </c>
      <c r="AA80" s="230">
        <f t="shared" si="12"/>
        <v>0</v>
      </c>
      <c r="AB80" s="230">
        <f t="shared" si="13"/>
        <v>0</v>
      </c>
      <c r="AC80" s="230">
        <f t="shared" si="14"/>
        <v>0</v>
      </c>
      <c r="AD80" s="230">
        <f t="shared" si="15"/>
        <v>0</v>
      </c>
      <c r="AE80" s="230">
        <f t="shared" si="16"/>
        <v>0</v>
      </c>
      <c r="AF80" s="230">
        <f t="shared" si="17"/>
        <v>0</v>
      </c>
      <c r="AG80" s="230">
        <f t="shared" si="18"/>
        <v>0</v>
      </c>
    </row>
    <row r="81" spans="1:33">
      <c r="A81" t="str">
        <f>IF(ABS(H81)&gt;0,基础信息!$B$1,"")</f>
        <v/>
      </c>
      <c r="S81" s="229">
        <f t="shared" si="10"/>
        <v>0</v>
      </c>
      <c r="Z81" s="230">
        <f t="shared" si="11"/>
        <v>0</v>
      </c>
      <c r="AA81" s="230">
        <f t="shared" si="12"/>
        <v>0</v>
      </c>
      <c r="AB81" s="230">
        <f t="shared" si="13"/>
        <v>0</v>
      </c>
      <c r="AC81" s="230">
        <f t="shared" si="14"/>
        <v>0</v>
      </c>
      <c r="AD81" s="230">
        <f t="shared" si="15"/>
        <v>0</v>
      </c>
      <c r="AE81" s="230">
        <f t="shared" si="16"/>
        <v>0</v>
      </c>
      <c r="AF81" s="230">
        <f t="shared" si="17"/>
        <v>0</v>
      </c>
      <c r="AG81" s="230">
        <f t="shared" si="18"/>
        <v>0</v>
      </c>
    </row>
    <row r="82" spans="1:33">
      <c r="A82" t="str">
        <f>IF(ABS(H82)&gt;0,基础信息!$B$1,"")</f>
        <v/>
      </c>
      <c r="S82" s="229">
        <f t="shared" si="10"/>
        <v>0</v>
      </c>
      <c r="Z82" s="230">
        <f t="shared" si="11"/>
        <v>0</v>
      </c>
      <c r="AA82" s="230">
        <f t="shared" si="12"/>
        <v>0</v>
      </c>
      <c r="AB82" s="230">
        <f t="shared" si="13"/>
        <v>0</v>
      </c>
      <c r="AC82" s="230">
        <f t="shared" si="14"/>
        <v>0</v>
      </c>
      <c r="AD82" s="230">
        <f t="shared" si="15"/>
        <v>0</v>
      </c>
      <c r="AE82" s="230">
        <f t="shared" si="16"/>
        <v>0</v>
      </c>
      <c r="AF82" s="230">
        <f t="shared" si="17"/>
        <v>0</v>
      </c>
      <c r="AG82" s="230">
        <f t="shared" si="18"/>
        <v>0</v>
      </c>
    </row>
    <row r="83" spans="1:33">
      <c r="A83" t="str">
        <f>IF(ABS(H83)&gt;0,基础信息!$B$1,"")</f>
        <v/>
      </c>
      <c r="S83" s="229">
        <f t="shared" si="10"/>
        <v>0</v>
      </c>
      <c r="Z83" s="230">
        <f t="shared" si="11"/>
        <v>0</v>
      </c>
      <c r="AA83" s="230">
        <f t="shared" si="12"/>
        <v>0</v>
      </c>
      <c r="AB83" s="230">
        <f t="shared" si="13"/>
        <v>0</v>
      </c>
      <c r="AC83" s="230">
        <f t="shared" si="14"/>
        <v>0</v>
      </c>
      <c r="AD83" s="230">
        <f t="shared" si="15"/>
        <v>0</v>
      </c>
      <c r="AE83" s="230">
        <f t="shared" si="16"/>
        <v>0</v>
      </c>
      <c r="AF83" s="230">
        <f t="shared" si="17"/>
        <v>0</v>
      </c>
      <c r="AG83" s="230">
        <f t="shared" si="18"/>
        <v>0</v>
      </c>
    </row>
    <row r="84" spans="1:33">
      <c r="A84" t="str">
        <f>IF(ABS(H84)&gt;0,基础信息!$B$1,"")</f>
        <v/>
      </c>
      <c r="S84" s="229">
        <f t="shared" si="10"/>
        <v>0</v>
      </c>
      <c r="Z84" s="230">
        <f t="shared" si="11"/>
        <v>0</v>
      </c>
      <c r="AA84" s="230">
        <f t="shared" si="12"/>
        <v>0</v>
      </c>
      <c r="AB84" s="230">
        <f t="shared" si="13"/>
        <v>0</v>
      </c>
      <c r="AC84" s="230">
        <f t="shared" si="14"/>
        <v>0</v>
      </c>
      <c r="AD84" s="230">
        <f t="shared" si="15"/>
        <v>0</v>
      </c>
      <c r="AE84" s="230">
        <f t="shared" si="16"/>
        <v>0</v>
      </c>
      <c r="AF84" s="230">
        <f t="shared" si="17"/>
        <v>0</v>
      </c>
      <c r="AG84" s="230">
        <f t="shared" si="18"/>
        <v>0</v>
      </c>
    </row>
    <row r="85" spans="1:33">
      <c r="A85" t="str">
        <f>IF(ABS(H85)&gt;0,基础信息!$B$1,"")</f>
        <v/>
      </c>
      <c r="S85" s="229">
        <f t="shared" ref="S85:S148" si="19">O85+P85-Q85-R85</f>
        <v>0</v>
      </c>
      <c r="Z85" s="230">
        <f t="shared" ref="Z85:Z148" si="20">H85-S85</f>
        <v>0</v>
      </c>
      <c r="AA85" s="230">
        <f t="shared" ref="AA85:AA148" si="21">I85-T85</f>
        <v>0</v>
      </c>
      <c r="AB85" s="230">
        <f t="shared" ref="AB85:AB148" si="22">J85-U85</f>
        <v>0</v>
      </c>
      <c r="AC85" s="230">
        <f t="shared" ref="AC85:AC148" si="23">K85-V85</f>
        <v>0</v>
      </c>
      <c r="AD85" s="230">
        <f t="shared" ref="AD85:AD148" si="24">L85-W85</f>
        <v>0</v>
      </c>
      <c r="AE85" s="230">
        <f t="shared" ref="AE85:AE148" si="25">M85-X85</f>
        <v>0</v>
      </c>
      <c r="AF85" s="230">
        <f t="shared" ref="AF85:AF148" si="26">N85-Y85</f>
        <v>0</v>
      </c>
      <c r="AG85" s="230">
        <f t="shared" ref="AG85:AG148" si="27">S85-SUM(T85:Y85)</f>
        <v>0</v>
      </c>
    </row>
    <row r="86" spans="1:33">
      <c r="A86" t="str">
        <f>IF(ABS(H86)&gt;0,基础信息!$B$1,"")</f>
        <v/>
      </c>
      <c r="S86" s="229">
        <f t="shared" si="19"/>
        <v>0</v>
      </c>
      <c r="Z86" s="230">
        <f t="shared" si="20"/>
        <v>0</v>
      </c>
      <c r="AA86" s="230">
        <f t="shared" si="21"/>
        <v>0</v>
      </c>
      <c r="AB86" s="230">
        <f t="shared" si="22"/>
        <v>0</v>
      </c>
      <c r="AC86" s="230">
        <f t="shared" si="23"/>
        <v>0</v>
      </c>
      <c r="AD86" s="230">
        <f t="shared" si="24"/>
        <v>0</v>
      </c>
      <c r="AE86" s="230">
        <f t="shared" si="25"/>
        <v>0</v>
      </c>
      <c r="AF86" s="230">
        <f t="shared" si="26"/>
        <v>0</v>
      </c>
      <c r="AG86" s="230">
        <f t="shared" si="27"/>
        <v>0</v>
      </c>
    </row>
    <row r="87" spans="1:33">
      <c r="A87" t="str">
        <f>IF(ABS(H87)&gt;0,基础信息!$B$1,"")</f>
        <v/>
      </c>
      <c r="S87" s="229">
        <f t="shared" si="19"/>
        <v>0</v>
      </c>
      <c r="Z87" s="230">
        <f t="shared" si="20"/>
        <v>0</v>
      </c>
      <c r="AA87" s="230">
        <f t="shared" si="21"/>
        <v>0</v>
      </c>
      <c r="AB87" s="230">
        <f t="shared" si="22"/>
        <v>0</v>
      </c>
      <c r="AC87" s="230">
        <f t="shared" si="23"/>
        <v>0</v>
      </c>
      <c r="AD87" s="230">
        <f t="shared" si="24"/>
        <v>0</v>
      </c>
      <c r="AE87" s="230">
        <f t="shared" si="25"/>
        <v>0</v>
      </c>
      <c r="AF87" s="230">
        <f t="shared" si="26"/>
        <v>0</v>
      </c>
      <c r="AG87" s="230">
        <f t="shared" si="27"/>
        <v>0</v>
      </c>
    </row>
    <row r="88" spans="1:33">
      <c r="A88" t="str">
        <f>IF(ABS(H88)&gt;0,基础信息!$B$1,"")</f>
        <v/>
      </c>
      <c r="S88" s="229">
        <f t="shared" si="19"/>
        <v>0</v>
      </c>
      <c r="Z88" s="230">
        <f t="shared" si="20"/>
        <v>0</v>
      </c>
      <c r="AA88" s="230">
        <f t="shared" si="21"/>
        <v>0</v>
      </c>
      <c r="AB88" s="230">
        <f t="shared" si="22"/>
        <v>0</v>
      </c>
      <c r="AC88" s="230">
        <f t="shared" si="23"/>
        <v>0</v>
      </c>
      <c r="AD88" s="230">
        <f t="shared" si="24"/>
        <v>0</v>
      </c>
      <c r="AE88" s="230">
        <f t="shared" si="25"/>
        <v>0</v>
      </c>
      <c r="AF88" s="230">
        <f t="shared" si="26"/>
        <v>0</v>
      </c>
      <c r="AG88" s="230">
        <f t="shared" si="27"/>
        <v>0</v>
      </c>
    </row>
    <row r="89" spans="1:33">
      <c r="A89" t="str">
        <f>IF(ABS(H89)&gt;0,基础信息!$B$1,"")</f>
        <v/>
      </c>
      <c r="S89" s="229">
        <f t="shared" si="19"/>
        <v>0</v>
      </c>
      <c r="Z89" s="230">
        <f t="shared" si="20"/>
        <v>0</v>
      </c>
      <c r="AA89" s="230">
        <f t="shared" si="21"/>
        <v>0</v>
      </c>
      <c r="AB89" s="230">
        <f t="shared" si="22"/>
        <v>0</v>
      </c>
      <c r="AC89" s="230">
        <f t="shared" si="23"/>
        <v>0</v>
      </c>
      <c r="AD89" s="230">
        <f t="shared" si="24"/>
        <v>0</v>
      </c>
      <c r="AE89" s="230">
        <f t="shared" si="25"/>
        <v>0</v>
      </c>
      <c r="AF89" s="230">
        <f t="shared" si="26"/>
        <v>0</v>
      </c>
      <c r="AG89" s="230">
        <f t="shared" si="27"/>
        <v>0</v>
      </c>
    </row>
    <row r="90" spans="1:33">
      <c r="A90" t="str">
        <f>IF(ABS(H90)&gt;0,基础信息!$B$1,"")</f>
        <v/>
      </c>
      <c r="S90" s="229">
        <f t="shared" si="19"/>
        <v>0</v>
      </c>
      <c r="Z90" s="230">
        <f t="shared" si="20"/>
        <v>0</v>
      </c>
      <c r="AA90" s="230">
        <f t="shared" si="21"/>
        <v>0</v>
      </c>
      <c r="AB90" s="230">
        <f t="shared" si="22"/>
        <v>0</v>
      </c>
      <c r="AC90" s="230">
        <f t="shared" si="23"/>
        <v>0</v>
      </c>
      <c r="AD90" s="230">
        <f t="shared" si="24"/>
        <v>0</v>
      </c>
      <c r="AE90" s="230">
        <f t="shared" si="25"/>
        <v>0</v>
      </c>
      <c r="AF90" s="230">
        <f t="shared" si="26"/>
        <v>0</v>
      </c>
      <c r="AG90" s="230">
        <f t="shared" si="27"/>
        <v>0</v>
      </c>
    </row>
    <row r="91" spans="1:33">
      <c r="A91" t="str">
        <f>IF(ABS(H91)&gt;0,基础信息!$B$1,"")</f>
        <v/>
      </c>
      <c r="S91" s="229">
        <f t="shared" si="19"/>
        <v>0</v>
      </c>
      <c r="Z91" s="230">
        <f t="shared" si="20"/>
        <v>0</v>
      </c>
      <c r="AA91" s="230">
        <f t="shared" si="21"/>
        <v>0</v>
      </c>
      <c r="AB91" s="230">
        <f t="shared" si="22"/>
        <v>0</v>
      </c>
      <c r="AC91" s="230">
        <f t="shared" si="23"/>
        <v>0</v>
      </c>
      <c r="AD91" s="230">
        <f t="shared" si="24"/>
        <v>0</v>
      </c>
      <c r="AE91" s="230">
        <f t="shared" si="25"/>
        <v>0</v>
      </c>
      <c r="AF91" s="230">
        <f t="shared" si="26"/>
        <v>0</v>
      </c>
      <c r="AG91" s="230">
        <f t="shared" si="27"/>
        <v>0</v>
      </c>
    </row>
    <row r="92" spans="1:33">
      <c r="A92" t="str">
        <f>IF(ABS(H92)&gt;0,基础信息!$B$1,"")</f>
        <v/>
      </c>
      <c r="S92" s="229">
        <f t="shared" si="19"/>
        <v>0</v>
      </c>
      <c r="Z92" s="230">
        <f t="shared" si="20"/>
        <v>0</v>
      </c>
      <c r="AA92" s="230">
        <f t="shared" si="21"/>
        <v>0</v>
      </c>
      <c r="AB92" s="230">
        <f t="shared" si="22"/>
        <v>0</v>
      </c>
      <c r="AC92" s="230">
        <f t="shared" si="23"/>
        <v>0</v>
      </c>
      <c r="AD92" s="230">
        <f t="shared" si="24"/>
        <v>0</v>
      </c>
      <c r="AE92" s="230">
        <f t="shared" si="25"/>
        <v>0</v>
      </c>
      <c r="AF92" s="230">
        <f t="shared" si="26"/>
        <v>0</v>
      </c>
      <c r="AG92" s="230">
        <f t="shared" si="27"/>
        <v>0</v>
      </c>
    </row>
    <row r="93" spans="1:33">
      <c r="A93" t="str">
        <f>IF(ABS(H93)&gt;0,基础信息!$B$1,"")</f>
        <v/>
      </c>
      <c r="S93" s="229">
        <f t="shared" si="19"/>
        <v>0</v>
      </c>
      <c r="Z93" s="230">
        <f t="shared" si="20"/>
        <v>0</v>
      </c>
      <c r="AA93" s="230">
        <f t="shared" si="21"/>
        <v>0</v>
      </c>
      <c r="AB93" s="230">
        <f t="shared" si="22"/>
        <v>0</v>
      </c>
      <c r="AC93" s="230">
        <f t="shared" si="23"/>
        <v>0</v>
      </c>
      <c r="AD93" s="230">
        <f t="shared" si="24"/>
        <v>0</v>
      </c>
      <c r="AE93" s="230">
        <f t="shared" si="25"/>
        <v>0</v>
      </c>
      <c r="AF93" s="230">
        <f t="shared" si="26"/>
        <v>0</v>
      </c>
      <c r="AG93" s="230">
        <f t="shared" si="27"/>
        <v>0</v>
      </c>
    </row>
    <row r="94" spans="1:33">
      <c r="A94" t="str">
        <f>IF(ABS(H94)&gt;0,基础信息!$B$1,"")</f>
        <v/>
      </c>
      <c r="S94" s="229">
        <f t="shared" si="19"/>
        <v>0</v>
      </c>
      <c r="Z94" s="230">
        <f t="shared" si="20"/>
        <v>0</v>
      </c>
      <c r="AA94" s="230">
        <f t="shared" si="21"/>
        <v>0</v>
      </c>
      <c r="AB94" s="230">
        <f t="shared" si="22"/>
        <v>0</v>
      </c>
      <c r="AC94" s="230">
        <f t="shared" si="23"/>
        <v>0</v>
      </c>
      <c r="AD94" s="230">
        <f t="shared" si="24"/>
        <v>0</v>
      </c>
      <c r="AE94" s="230">
        <f t="shared" si="25"/>
        <v>0</v>
      </c>
      <c r="AF94" s="230">
        <f t="shared" si="26"/>
        <v>0</v>
      </c>
      <c r="AG94" s="230">
        <f t="shared" si="27"/>
        <v>0</v>
      </c>
    </row>
    <row r="95" spans="1:33">
      <c r="A95" t="str">
        <f>IF(ABS(H95)&gt;0,基础信息!$B$1,"")</f>
        <v/>
      </c>
      <c r="S95" s="229">
        <f t="shared" si="19"/>
        <v>0</v>
      </c>
      <c r="Z95" s="230">
        <f t="shared" si="20"/>
        <v>0</v>
      </c>
      <c r="AA95" s="230">
        <f t="shared" si="21"/>
        <v>0</v>
      </c>
      <c r="AB95" s="230">
        <f t="shared" si="22"/>
        <v>0</v>
      </c>
      <c r="AC95" s="230">
        <f t="shared" si="23"/>
        <v>0</v>
      </c>
      <c r="AD95" s="230">
        <f t="shared" si="24"/>
        <v>0</v>
      </c>
      <c r="AE95" s="230">
        <f t="shared" si="25"/>
        <v>0</v>
      </c>
      <c r="AF95" s="230">
        <f t="shared" si="26"/>
        <v>0</v>
      </c>
      <c r="AG95" s="230">
        <f t="shared" si="27"/>
        <v>0</v>
      </c>
    </row>
    <row r="96" spans="1:33">
      <c r="A96" t="str">
        <f>IF(ABS(H96)&gt;0,基础信息!$B$1,"")</f>
        <v/>
      </c>
      <c r="S96" s="229">
        <f t="shared" si="19"/>
        <v>0</v>
      </c>
      <c r="Z96" s="230">
        <f t="shared" si="20"/>
        <v>0</v>
      </c>
      <c r="AA96" s="230">
        <f t="shared" si="21"/>
        <v>0</v>
      </c>
      <c r="AB96" s="230">
        <f t="shared" si="22"/>
        <v>0</v>
      </c>
      <c r="AC96" s="230">
        <f t="shared" si="23"/>
        <v>0</v>
      </c>
      <c r="AD96" s="230">
        <f t="shared" si="24"/>
        <v>0</v>
      </c>
      <c r="AE96" s="230">
        <f t="shared" si="25"/>
        <v>0</v>
      </c>
      <c r="AF96" s="230">
        <f t="shared" si="26"/>
        <v>0</v>
      </c>
      <c r="AG96" s="230">
        <f t="shared" si="27"/>
        <v>0</v>
      </c>
    </row>
    <row r="97" spans="1:33">
      <c r="A97" t="str">
        <f>IF(ABS(H97)&gt;0,基础信息!$B$1,"")</f>
        <v/>
      </c>
      <c r="S97" s="229">
        <f t="shared" si="19"/>
        <v>0</v>
      </c>
      <c r="Z97" s="230">
        <f t="shared" si="20"/>
        <v>0</v>
      </c>
      <c r="AA97" s="230">
        <f t="shared" si="21"/>
        <v>0</v>
      </c>
      <c r="AB97" s="230">
        <f t="shared" si="22"/>
        <v>0</v>
      </c>
      <c r="AC97" s="230">
        <f t="shared" si="23"/>
        <v>0</v>
      </c>
      <c r="AD97" s="230">
        <f t="shared" si="24"/>
        <v>0</v>
      </c>
      <c r="AE97" s="230">
        <f t="shared" si="25"/>
        <v>0</v>
      </c>
      <c r="AF97" s="230">
        <f t="shared" si="26"/>
        <v>0</v>
      </c>
      <c r="AG97" s="230">
        <f t="shared" si="27"/>
        <v>0</v>
      </c>
    </row>
    <row r="98" spans="1:33">
      <c r="A98" t="str">
        <f>IF(ABS(H98)&gt;0,基础信息!$B$1,"")</f>
        <v/>
      </c>
      <c r="S98" s="229">
        <f t="shared" si="19"/>
        <v>0</v>
      </c>
      <c r="Z98" s="230">
        <f t="shared" si="20"/>
        <v>0</v>
      </c>
      <c r="AA98" s="230">
        <f t="shared" si="21"/>
        <v>0</v>
      </c>
      <c r="AB98" s="230">
        <f t="shared" si="22"/>
        <v>0</v>
      </c>
      <c r="AC98" s="230">
        <f t="shared" si="23"/>
        <v>0</v>
      </c>
      <c r="AD98" s="230">
        <f t="shared" si="24"/>
        <v>0</v>
      </c>
      <c r="AE98" s="230">
        <f t="shared" si="25"/>
        <v>0</v>
      </c>
      <c r="AF98" s="230">
        <f t="shared" si="26"/>
        <v>0</v>
      </c>
      <c r="AG98" s="230">
        <f t="shared" si="27"/>
        <v>0</v>
      </c>
    </row>
    <row r="99" spans="1:33">
      <c r="A99" t="str">
        <f>IF(ABS(H99)&gt;0,基础信息!$B$1,"")</f>
        <v/>
      </c>
      <c r="S99" s="229">
        <f t="shared" si="19"/>
        <v>0</v>
      </c>
      <c r="Z99" s="230">
        <f t="shared" si="20"/>
        <v>0</v>
      </c>
      <c r="AA99" s="230">
        <f t="shared" si="21"/>
        <v>0</v>
      </c>
      <c r="AB99" s="230">
        <f t="shared" si="22"/>
        <v>0</v>
      </c>
      <c r="AC99" s="230">
        <f t="shared" si="23"/>
        <v>0</v>
      </c>
      <c r="AD99" s="230">
        <f t="shared" si="24"/>
        <v>0</v>
      </c>
      <c r="AE99" s="230">
        <f t="shared" si="25"/>
        <v>0</v>
      </c>
      <c r="AF99" s="230">
        <f t="shared" si="26"/>
        <v>0</v>
      </c>
      <c r="AG99" s="230">
        <f t="shared" si="27"/>
        <v>0</v>
      </c>
    </row>
    <row r="100" spans="1:33">
      <c r="A100" t="str">
        <f>IF(ABS(H100)&gt;0,基础信息!$B$1,"")</f>
        <v/>
      </c>
      <c r="S100" s="229">
        <f t="shared" si="19"/>
        <v>0</v>
      </c>
      <c r="Z100" s="230">
        <f t="shared" si="20"/>
        <v>0</v>
      </c>
      <c r="AA100" s="230">
        <f t="shared" si="21"/>
        <v>0</v>
      </c>
      <c r="AB100" s="230">
        <f t="shared" si="22"/>
        <v>0</v>
      </c>
      <c r="AC100" s="230">
        <f t="shared" si="23"/>
        <v>0</v>
      </c>
      <c r="AD100" s="230">
        <f t="shared" si="24"/>
        <v>0</v>
      </c>
      <c r="AE100" s="230">
        <f t="shared" si="25"/>
        <v>0</v>
      </c>
      <c r="AF100" s="230">
        <f t="shared" si="26"/>
        <v>0</v>
      </c>
      <c r="AG100" s="230">
        <f t="shared" si="27"/>
        <v>0</v>
      </c>
    </row>
    <row r="101" spans="1:33">
      <c r="A101" t="str">
        <f>IF(ABS(H101)&gt;0,基础信息!$B$1,"")</f>
        <v/>
      </c>
      <c r="S101" s="229">
        <f t="shared" si="19"/>
        <v>0</v>
      </c>
      <c r="Z101" s="230">
        <f t="shared" si="20"/>
        <v>0</v>
      </c>
      <c r="AA101" s="230">
        <f t="shared" si="21"/>
        <v>0</v>
      </c>
      <c r="AB101" s="230">
        <f t="shared" si="22"/>
        <v>0</v>
      </c>
      <c r="AC101" s="230">
        <f t="shared" si="23"/>
        <v>0</v>
      </c>
      <c r="AD101" s="230">
        <f t="shared" si="24"/>
        <v>0</v>
      </c>
      <c r="AE101" s="230">
        <f t="shared" si="25"/>
        <v>0</v>
      </c>
      <c r="AF101" s="230">
        <f t="shared" si="26"/>
        <v>0</v>
      </c>
      <c r="AG101" s="230">
        <f t="shared" si="27"/>
        <v>0</v>
      </c>
    </row>
    <row r="102" spans="1:33">
      <c r="A102" t="str">
        <f>IF(ABS(H102)&gt;0,基础信息!$B$1,"")</f>
        <v/>
      </c>
      <c r="S102" s="229">
        <f t="shared" si="19"/>
        <v>0</v>
      </c>
      <c r="Z102" s="230">
        <f t="shared" si="20"/>
        <v>0</v>
      </c>
      <c r="AA102" s="230">
        <f t="shared" si="21"/>
        <v>0</v>
      </c>
      <c r="AB102" s="230">
        <f t="shared" si="22"/>
        <v>0</v>
      </c>
      <c r="AC102" s="230">
        <f t="shared" si="23"/>
        <v>0</v>
      </c>
      <c r="AD102" s="230">
        <f t="shared" si="24"/>
        <v>0</v>
      </c>
      <c r="AE102" s="230">
        <f t="shared" si="25"/>
        <v>0</v>
      </c>
      <c r="AF102" s="230">
        <f t="shared" si="26"/>
        <v>0</v>
      </c>
      <c r="AG102" s="230">
        <f t="shared" si="27"/>
        <v>0</v>
      </c>
    </row>
    <row r="103" spans="1:33">
      <c r="A103" t="str">
        <f>IF(ABS(H103)&gt;0,基础信息!$B$1,"")</f>
        <v/>
      </c>
      <c r="S103" s="229">
        <f t="shared" si="19"/>
        <v>0</v>
      </c>
      <c r="Z103" s="230">
        <f t="shared" si="20"/>
        <v>0</v>
      </c>
      <c r="AA103" s="230">
        <f t="shared" si="21"/>
        <v>0</v>
      </c>
      <c r="AB103" s="230">
        <f t="shared" si="22"/>
        <v>0</v>
      </c>
      <c r="AC103" s="230">
        <f t="shared" si="23"/>
        <v>0</v>
      </c>
      <c r="AD103" s="230">
        <f t="shared" si="24"/>
        <v>0</v>
      </c>
      <c r="AE103" s="230">
        <f t="shared" si="25"/>
        <v>0</v>
      </c>
      <c r="AF103" s="230">
        <f t="shared" si="26"/>
        <v>0</v>
      </c>
      <c r="AG103" s="230">
        <f t="shared" si="27"/>
        <v>0</v>
      </c>
    </row>
    <row r="104" spans="1:33">
      <c r="A104" t="str">
        <f>IF(ABS(H104)&gt;0,基础信息!$B$1,"")</f>
        <v/>
      </c>
      <c r="S104" s="229">
        <f t="shared" si="19"/>
        <v>0</v>
      </c>
      <c r="Z104" s="230">
        <f t="shared" si="20"/>
        <v>0</v>
      </c>
      <c r="AA104" s="230">
        <f t="shared" si="21"/>
        <v>0</v>
      </c>
      <c r="AB104" s="230">
        <f t="shared" si="22"/>
        <v>0</v>
      </c>
      <c r="AC104" s="230">
        <f t="shared" si="23"/>
        <v>0</v>
      </c>
      <c r="AD104" s="230">
        <f t="shared" si="24"/>
        <v>0</v>
      </c>
      <c r="AE104" s="230">
        <f t="shared" si="25"/>
        <v>0</v>
      </c>
      <c r="AF104" s="230">
        <f t="shared" si="26"/>
        <v>0</v>
      </c>
      <c r="AG104" s="230">
        <f t="shared" si="27"/>
        <v>0</v>
      </c>
    </row>
    <row r="105" spans="1:33">
      <c r="A105" t="str">
        <f>IF(ABS(H105)&gt;0,基础信息!$B$1,"")</f>
        <v/>
      </c>
      <c r="S105" s="229">
        <f t="shared" si="19"/>
        <v>0</v>
      </c>
      <c r="Z105" s="230">
        <f t="shared" si="20"/>
        <v>0</v>
      </c>
      <c r="AA105" s="230">
        <f t="shared" si="21"/>
        <v>0</v>
      </c>
      <c r="AB105" s="230">
        <f t="shared" si="22"/>
        <v>0</v>
      </c>
      <c r="AC105" s="230">
        <f t="shared" si="23"/>
        <v>0</v>
      </c>
      <c r="AD105" s="230">
        <f t="shared" si="24"/>
        <v>0</v>
      </c>
      <c r="AE105" s="230">
        <f t="shared" si="25"/>
        <v>0</v>
      </c>
      <c r="AF105" s="230">
        <f t="shared" si="26"/>
        <v>0</v>
      </c>
      <c r="AG105" s="230">
        <f t="shared" si="27"/>
        <v>0</v>
      </c>
    </row>
    <row r="106" spans="1:33">
      <c r="A106" t="str">
        <f>IF(ABS(H106)&gt;0,基础信息!$B$1,"")</f>
        <v/>
      </c>
      <c r="S106" s="229">
        <f t="shared" si="19"/>
        <v>0</v>
      </c>
      <c r="Z106" s="230">
        <f t="shared" si="20"/>
        <v>0</v>
      </c>
      <c r="AA106" s="230">
        <f t="shared" si="21"/>
        <v>0</v>
      </c>
      <c r="AB106" s="230">
        <f t="shared" si="22"/>
        <v>0</v>
      </c>
      <c r="AC106" s="230">
        <f t="shared" si="23"/>
        <v>0</v>
      </c>
      <c r="AD106" s="230">
        <f t="shared" si="24"/>
        <v>0</v>
      </c>
      <c r="AE106" s="230">
        <f t="shared" si="25"/>
        <v>0</v>
      </c>
      <c r="AF106" s="230">
        <f t="shared" si="26"/>
        <v>0</v>
      </c>
      <c r="AG106" s="230">
        <f t="shared" si="27"/>
        <v>0</v>
      </c>
    </row>
    <row r="107" spans="1:33">
      <c r="A107" t="str">
        <f>IF(ABS(H107)&gt;0,基础信息!$B$1,"")</f>
        <v/>
      </c>
      <c r="S107" s="229">
        <f t="shared" si="19"/>
        <v>0</v>
      </c>
      <c r="Z107" s="230">
        <f t="shared" si="20"/>
        <v>0</v>
      </c>
      <c r="AA107" s="230">
        <f t="shared" si="21"/>
        <v>0</v>
      </c>
      <c r="AB107" s="230">
        <f t="shared" si="22"/>
        <v>0</v>
      </c>
      <c r="AC107" s="230">
        <f t="shared" si="23"/>
        <v>0</v>
      </c>
      <c r="AD107" s="230">
        <f t="shared" si="24"/>
        <v>0</v>
      </c>
      <c r="AE107" s="230">
        <f t="shared" si="25"/>
        <v>0</v>
      </c>
      <c r="AF107" s="230">
        <f t="shared" si="26"/>
        <v>0</v>
      </c>
      <c r="AG107" s="230">
        <f t="shared" si="27"/>
        <v>0</v>
      </c>
    </row>
    <row r="108" spans="1:33">
      <c r="A108" t="str">
        <f>IF(ABS(H108)&gt;0,基础信息!$B$1,"")</f>
        <v/>
      </c>
      <c r="S108" s="229">
        <f t="shared" si="19"/>
        <v>0</v>
      </c>
      <c r="Z108" s="230">
        <f t="shared" si="20"/>
        <v>0</v>
      </c>
      <c r="AA108" s="230">
        <f t="shared" si="21"/>
        <v>0</v>
      </c>
      <c r="AB108" s="230">
        <f t="shared" si="22"/>
        <v>0</v>
      </c>
      <c r="AC108" s="230">
        <f t="shared" si="23"/>
        <v>0</v>
      </c>
      <c r="AD108" s="230">
        <f t="shared" si="24"/>
        <v>0</v>
      </c>
      <c r="AE108" s="230">
        <f t="shared" si="25"/>
        <v>0</v>
      </c>
      <c r="AF108" s="230">
        <f t="shared" si="26"/>
        <v>0</v>
      </c>
      <c r="AG108" s="230">
        <f t="shared" si="27"/>
        <v>0</v>
      </c>
    </row>
    <row r="109" spans="1:33">
      <c r="A109" t="str">
        <f>IF(ABS(H109)&gt;0,基础信息!$B$1,"")</f>
        <v/>
      </c>
      <c r="S109" s="229">
        <f t="shared" si="19"/>
        <v>0</v>
      </c>
      <c r="Z109" s="230">
        <f t="shared" si="20"/>
        <v>0</v>
      </c>
      <c r="AA109" s="230">
        <f t="shared" si="21"/>
        <v>0</v>
      </c>
      <c r="AB109" s="230">
        <f t="shared" si="22"/>
        <v>0</v>
      </c>
      <c r="AC109" s="230">
        <f t="shared" si="23"/>
        <v>0</v>
      </c>
      <c r="AD109" s="230">
        <f t="shared" si="24"/>
        <v>0</v>
      </c>
      <c r="AE109" s="230">
        <f t="shared" si="25"/>
        <v>0</v>
      </c>
      <c r="AF109" s="230">
        <f t="shared" si="26"/>
        <v>0</v>
      </c>
      <c r="AG109" s="230">
        <f t="shared" si="27"/>
        <v>0</v>
      </c>
    </row>
    <row r="110" spans="1:33">
      <c r="A110" t="str">
        <f>IF(ABS(H110)&gt;0,基础信息!$B$1,"")</f>
        <v/>
      </c>
      <c r="S110" s="229">
        <f t="shared" si="19"/>
        <v>0</v>
      </c>
      <c r="Z110" s="230">
        <f t="shared" si="20"/>
        <v>0</v>
      </c>
      <c r="AA110" s="230">
        <f t="shared" si="21"/>
        <v>0</v>
      </c>
      <c r="AB110" s="230">
        <f t="shared" si="22"/>
        <v>0</v>
      </c>
      <c r="AC110" s="230">
        <f t="shared" si="23"/>
        <v>0</v>
      </c>
      <c r="AD110" s="230">
        <f t="shared" si="24"/>
        <v>0</v>
      </c>
      <c r="AE110" s="230">
        <f t="shared" si="25"/>
        <v>0</v>
      </c>
      <c r="AF110" s="230">
        <f t="shared" si="26"/>
        <v>0</v>
      </c>
      <c r="AG110" s="230">
        <f t="shared" si="27"/>
        <v>0</v>
      </c>
    </row>
    <row r="111" spans="1:33">
      <c r="A111" t="str">
        <f>IF(ABS(H111)&gt;0,基础信息!$B$1,"")</f>
        <v/>
      </c>
      <c r="S111" s="229">
        <f t="shared" si="19"/>
        <v>0</v>
      </c>
      <c r="Z111" s="230">
        <f t="shared" si="20"/>
        <v>0</v>
      </c>
      <c r="AA111" s="230">
        <f t="shared" si="21"/>
        <v>0</v>
      </c>
      <c r="AB111" s="230">
        <f t="shared" si="22"/>
        <v>0</v>
      </c>
      <c r="AC111" s="230">
        <f t="shared" si="23"/>
        <v>0</v>
      </c>
      <c r="AD111" s="230">
        <f t="shared" si="24"/>
        <v>0</v>
      </c>
      <c r="AE111" s="230">
        <f t="shared" si="25"/>
        <v>0</v>
      </c>
      <c r="AF111" s="230">
        <f t="shared" si="26"/>
        <v>0</v>
      </c>
      <c r="AG111" s="230">
        <f t="shared" si="27"/>
        <v>0</v>
      </c>
    </row>
    <row r="112" spans="1:33">
      <c r="A112" t="str">
        <f>IF(ABS(H112)&gt;0,基础信息!$B$1,"")</f>
        <v/>
      </c>
      <c r="S112" s="229">
        <f t="shared" si="19"/>
        <v>0</v>
      </c>
      <c r="Z112" s="230">
        <f t="shared" si="20"/>
        <v>0</v>
      </c>
      <c r="AA112" s="230">
        <f t="shared" si="21"/>
        <v>0</v>
      </c>
      <c r="AB112" s="230">
        <f t="shared" si="22"/>
        <v>0</v>
      </c>
      <c r="AC112" s="230">
        <f t="shared" si="23"/>
        <v>0</v>
      </c>
      <c r="AD112" s="230">
        <f t="shared" si="24"/>
        <v>0</v>
      </c>
      <c r="AE112" s="230">
        <f t="shared" si="25"/>
        <v>0</v>
      </c>
      <c r="AF112" s="230">
        <f t="shared" si="26"/>
        <v>0</v>
      </c>
      <c r="AG112" s="230">
        <f t="shared" si="27"/>
        <v>0</v>
      </c>
    </row>
    <row r="113" spans="1:33">
      <c r="A113" t="str">
        <f>IF(ABS(H113)&gt;0,基础信息!$B$1,"")</f>
        <v/>
      </c>
      <c r="S113" s="229">
        <f t="shared" si="19"/>
        <v>0</v>
      </c>
      <c r="Z113" s="230">
        <f t="shared" si="20"/>
        <v>0</v>
      </c>
      <c r="AA113" s="230">
        <f t="shared" si="21"/>
        <v>0</v>
      </c>
      <c r="AB113" s="230">
        <f t="shared" si="22"/>
        <v>0</v>
      </c>
      <c r="AC113" s="230">
        <f t="shared" si="23"/>
        <v>0</v>
      </c>
      <c r="AD113" s="230">
        <f t="shared" si="24"/>
        <v>0</v>
      </c>
      <c r="AE113" s="230">
        <f t="shared" si="25"/>
        <v>0</v>
      </c>
      <c r="AF113" s="230">
        <f t="shared" si="26"/>
        <v>0</v>
      </c>
      <c r="AG113" s="230">
        <f t="shared" si="27"/>
        <v>0</v>
      </c>
    </row>
    <row r="114" spans="1:33">
      <c r="A114" t="str">
        <f>IF(ABS(H114)&gt;0,基础信息!$B$1,"")</f>
        <v/>
      </c>
      <c r="S114" s="229">
        <f t="shared" si="19"/>
        <v>0</v>
      </c>
      <c r="Z114" s="230">
        <f t="shared" si="20"/>
        <v>0</v>
      </c>
      <c r="AA114" s="230">
        <f t="shared" si="21"/>
        <v>0</v>
      </c>
      <c r="AB114" s="230">
        <f t="shared" si="22"/>
        <v>0</v>
      </c>
      <c r="AC114" s="230">
        <f t="shared" si="23"/>
        <v>0</v>
      </c>
      <c r="AD114" s="230">
        <f t="shared" si="24"/>
        <v>0</v>
      </c>
      <c r="AE114" s="230">
        <f t="shared" si="25"/>
        <v>0</v>
      </c>
      <c r="AF114" s="230">
        <f t="shared" si="26"/>
        <v>0</v>
      </c>
      <c r="AG114" s="230">
        <f t="shared" si="27"/>
        <v>0</v>
      </c>
    </row>
    <row r="115" spans="1:33">
      <c r="A115" t="str">
        <f>IF(ABS(H115)&gt;0,基础信息!$B$1,"")</f>
        <v/>
      </c>
      <c r="S115" s="229">
        <f t="shared" si="19"/>
        <v>0</v>
      </c>
      <c r="Z115" s="230">
        <f t="shared" si="20"/>
        <v>0</v>
      </c>
      <c r="AA115" s="230">
        <f t="shared" si="21"/>
        <v>0</v>
      </c>
      <c r="AB115" s="230">
        <f t="shared" si="22"/>
        <v>0</v>
      </c>
      <c r="AC115" s="230">
        <f t="shared" si="23"/>
        <v>0</v>
      </c>
      <c r="AD115" s="230">
        <f t="shared" si="24"/>
        <v>0</v>
      </c>
      <c r="AE115" s="230">
        <f t="shared" si="25"/>
        <v>0</v>
      </c>
      <c r="AF115" s="230">
        <f t="shared" si="26"/>
        <v>0</v>
      </c>
      <c r="AG115" s="230">
        <f t="shared" si="27"/>
        <v>0</v>
      </c>
    </row>
    <row r="116" spans="1:33">
      <c r="A116" t="str">
        <f>IF(ABS(H116)&gt;0,基础信息!$B$1,"")</f>
        <v/>
      </c>
      <c r="S116" s="229">
        <f t="shared" si="19"/>
        <v>0</v>
      </c>
      <c r="Z116" s="230">
        <f t="shared" si="20"/>
        <v>0</v>
      </c>
      <c r="AA116" s="230">
        <f t="shared" si="21"/>
        <v>0</v>
      </c>
      <c r="AB116" s="230">
        <f t="shared" si="22"/>
        <v>0</v>
      </c>
      <c r="AC116" s="230">
        <f t="shared" si="23"/>
        <v>0</v>
      </c>
      <c r="AD116" s="230">
        <f t="shared" si="24"/>
        <v>0</v>
      </c>
      <c r="AE116" s="230">
        <f t="shared" si="25"/>
        <v>0</v>
      </c>
      <c r="AF116" s="230">
        <f t="shared" si="26"/>
        <v>0</v>
      </c>
      <c r="AG116" s="230">
        <f t="shared" si="27"/>
        <v>0</v>
      </c>
    </row>
    <row r="117" spans="1:33">
      <c r="A117" t="str">
        <f>IF(ABS(H117)&gt;0,基础信息!$B$1,"")</f>
        <v/>
      </c>
      <c r="S117" s="229">
        <f t="shared" si="19"/>
        <v>0</v>
      </c>
      <c r="Z117" s="230">
        <f t="shared" si="20"/>
        <v>0</v>
      </c>
      <c r="AA117" s="230">
        <f t="shared" si="21"/>
        <v>0</v>
      </c>
      <c r="AB117" s="230">
        <f t="shared" si="22"/>
        <v>0</v>
      </c>
      <c r="AC117" s="230">
        <f t="shared" si="23"/>
        <v>0</v>
      </c>
      <c r="AD117" s="230">
        <f t="shared" si="24"/>
        <v>0</v>
      </c>
      <c r="AE117" s="230">
        <f t="shared" si="25"/>
        <v>0</v>
      </c>
      <c r="AF117" s="230">
        <f t="shared" si="26"/>
        <v>0</v>
      </c>
      <c r="AG117" s="230">
        <f t="shared" si="27"/>
        <v>0</v>
      </c>
    </row>
    <row r="118" spans="1:33">
      <c r="A118" t="str">
        <f>IF(ABS(H118)&gt;0,基础信息!$B$1,"")</f>
        <v/>
      </c>
      <c r="S118" s="229">
        <f t="shared" si="19"/>
        <v>0</v>
      </c>
      <c r="Z118" s="230">
        <f t="shared" si="20"/>
        <v>0</v>
      </c>
      <c r="AA118" s="230">
        <f t="shared" si="21"/>
        <v>0</v>
      </c>
      <c r="AB118" s="230">
        <f t="shared" si="22"/>
        <v>0</v>
      </c>
      <c r="AC118" s="230">
        <f t="shared" si="23"/>
        <v>0</v>
      </c>
      <c r="AD118" s="230">
        <f t="shared" si="24"/>
        <v>0</v>
      </c>
      <c r="AE118" s="230">
        <f t="shared" si="25"/>
        <v>0</v>
      </c>
      <c r="AF118" s="230">
        <f t="shared" si="26"/>
        <v>0</v>
      </c>
      <c r="AG118" s="230">
        <f t="shared" si="27"/>
        <v>0</v>
      </c>
    </row>
    <row r="119" spans="1:33">
      <c r="A119" t="str">
        <f>IF(ABS(H119)&gt;0,基础信息!$B$1,"")</f>
        <v/>
      </c>
      <c r="S119" s="229">
        <f t="shared" si="19"/>
        <v>0</v>
      </c>
      <c r="Z119" s="230">
        <f t="shared" si="20"/>
        <v>0</v>
      </c>
      <c r="AA119" s="230">
        <f t="shared" si="21"/>
        <v>0</v>
      </c>
      <c r="AB119" s="230">
        <f t="shared" si="22"/>
        <v>0</v>
      </c>
      <c r="AC119" s="230">
        <f t="shared" si="23"/>
        <v>0</v>
      </c>
      <c r="AD119" s="230">
        <f t="shared" si="24"/>
        <v>0</v>
      </c>
      <c r="AE119" s="230">
        <f t="shared" si="25"/>
        <v>0</v>
      </c>
      <c r="AF119" s="230">
        <f t="shared" si="26"/>
        <v>0</v>
      </c>
      <c r="AG119" s="230">
        <f t="shared" si="27"/>
        <v>0</v>
      </c>
    </row>
    <row r="120" spans="1:33">
      <c r="A120" t="str">
        <f>IF(ABS(H120)&gt;0,基础信息!$B$1,"")</f>
        <v/>
      </c>
      <c r="S120" s="229">
        <f t="shared" si="19"/>
        <v>0</v>
      </c>
      <c r="Z120" s="230">
        <f t="shared" si="20"/>
        <v>0</v>
      </c>
      <c r="AA120" s="230">
        <f t="shared" si="21"/>
        <v>0</v>
      </c>
      <c r="AB120" s="230">
        <f t="shared" si="22"/>
        <v>0</v>
      </c>
      <c r="AC120" s="230">
        <f t="shared" si="23"/>
        <v>0</v>
      </c>
      <c r="AD120" s="230">
        <f t="shared" si="24"/>
        <v>0</v>
      </c>
      <c r="AE120" s="230">
        <f t="shared" si="25"/>
        <v>0</v>
      </c>
      <c r="AF120" s="230">
        <f t="shared" si="26"/>
        <v>0</v>
      </c>
      <c r="AG120" s="230">
        <f t="shared" si="27"/>
        <v>0</v>
      </c>
    </row>
    <row r="121" spans="1:33">
      <c r="A121" t="str">
        <f>IF(ABS(H121)&gt;0,基础信息!$B$1,"")</f>
        <v/>
      </c>
      <c r="S121" s="229">
        <f t="shared" si="19"/>
        <v>0</v>
      </c>
      <c r="Z121" s="230">
        <f t="shared" si="20"/>
        <v>0</v>
      </c>
      <c r="AA121" s="230">
        <f t="shared" si="21"/>
        <v>0</v>
      </c>
      <c r="AB121" s="230">
        <f t="shared" si="22"/>
        <v>0</v>
      </c>
      <c r="AC121" s="230">
        <f t="shared" si="23"/>
        <v>0</v>
      </c>
      <c r="AD121" s="230">
        <f t="shared" si="24"/>
        <v>0</v>
      </c>
      <c r="AE121" s="230">
        <f t="shared" si="25"/>
        <v>0</v>
      </c>
      <c r="AF121" s="230">
        <f t="shared" si="26"/>
        <v>0</v>
      </c>
      <c r="AG121" s="230">
        <f t="shared" si="27"/>
        <v>0</v>
      </c>
    </row>
    <row r="122" spans="1:33">
      <c r="A122" t="str">
        <f>IF(ABS(H122)&gt;0,基础信息!$B$1,"")</f>
        <v/>
      </c>
      <c r="S122" s="229">
        <f t="shared" si="19"/>
        <v>0</v>
      </c>
      <c r="Z122" s="230">
        <f t="shared" si="20"/>
        <v>0</v>
      </c>
      <c r="AA122" s="230">
        <f t="shared" si="21"/>
        <v>0</v>
      </c>
      <c r="AB122" s="230">
        <f t="shared" si="22"/>
        <v>0</v>
      </c>
      <c r="AC122" s="230">
        <f t="shared" si="23"/>
        <v>0</v>
      </c>
      <c r="AD122" s="230">
        <f t="shared" si="24"/>
        <v>0</v>
      </c>
      <c r="AE122" s="230">
        <f t="shared" si="25"/>
        <v>0</v>
      </c>
      <c r="AF122" s="230">
        <f t="shared" si="26"/>
        <v>0</v>
      </c>
      <c r="AG122" s="230">
        <f t="shared" si="27"/>
        <v>0</v>
      </c>
    </row>
    <row r="123" spans="1:33">
      <c r="A123" t="str">
        <f>IF(ABS(H123)&gt;0,基础信息!$B$1,"")</f>
        <v/>
      </c>
      <c r="S123" s="229">
        <f t="shared" si="19"/>
        <v>0</v>
      </c>
      <c r="Z123" s="230">
        <f t="shared" si="20"/>
        <v>0</v>
      </c>
      <c r="AA123" s="230">
        <f t="shared" si="21"/>
        <v>0</v>
      </c>
      <c r="AB123" s="230">
        <f t="shared" si="22"/>
        <v>0</v>
      </c>
      <c r="AC123" s="230">
        <f t="shared" si="23"/>
        <v>0</v>
      </c>
      <c r="AD123" s="230">
        <f t="shared" si="24"/>
        <v>0</v>
      </c>
      <c r="AE123" s="230">
        <f t="shared" si="25"/>
        <v>0</v>
      </c>
      <c r="AF123" s="230">
        <f t="shared" si="26"/>
        <v>0</v>
      </c>
      <c r="AG123" s="230">
        <f t="shared" si="27"/>
        <v>0</v>
      </c>
    </row>
    <row r="124" spans="1:33">
      <c r="A124" t="str">
        <f>IF(ABS(H124)&gt;0,基础信息!$B$1,"")</f>
        <v/>
      </c>
      <c r="S124" s="229">
        <f t="shared" si="19"/>
        <v>0</v>
      </c>
      <c r="Z124" s="230">
        <f t="shared" si="20"/>
        <v>0</v>
      </c>
      <c r="AA124" s="230">
        <f t="shared" si="21"/>
        <v>0</v>
      </c>
      <c r="AB124" s="230">
        <f t="shared" si="22"/>
        <v>0</v>
      </c>
      <c r="AC124" s="230">
        <f t="shared" si="23"/>
        <v>0</v>
      </c>
      <c r="AD124" s="230">
        <f t="shared" si="24"/>
        <v>0</v>
      </c>
      <c r="AE124" s="230">
        <f t="shared" si="25"/>
        <v>0</v>
      </c>
      <c r="AF124" s="230">
        <f t="shared" si="26"/>
        <v>0</v>
      </c>
      <c r="AG124" s="230">
        <f t="shared" si="27"/>
        <v>0</v>
      </c>
    </row>
    <row r="125" spans="1:33">
      <c r="A125" t="str">
        <f>IF(ABS(H125)&gt;0,基础信息!$B$1,"")</f>
        <v/>
      </c>
      <c r="S125" s="229">
        <f t="shared" si="19"/>
        <v>0</v>
      </c>
      <c r="Z125" s="230">
        <f t="shared" si="20"/>
        <v>0</v>
      </c>
      <c r="AA125" s="230">
        <f t="shared" si="21"/>
        <v>0</v>
      </c>
      <c r="AB125" s="230">
        <f t="shared" si="22"/>
        <v>0</v>
      </c>
      <c r="AC125" s="230">
        <f t="shared" si="23"/>
        <v>0</v>
      </c>
      <c r="AD125" s="230">
        <f t="shared" si="24"/>
        <v>0</v>
      </c>
      <c r="AE125" s="230">
        <f t="shared" si="25"/>
        <v>0</v>
      </c>
      <c r="AF125" s="230">
        <f t="shared" si="26"/>
        <v>0</v>
      </c>
      <c r="AG125" s="230">
        <f t="shared" si="27"/>
        <v>0</v>
      </c>
    </row>
    <row r="126" spans="1:33">
      <c r="A126" t="str">
        <f>IF(ABS(H126)&gt;0,基础信息!$B$1,"")</f>
        <v/>
      </c>
      <c r="S126" s="229">
        <f t="shared" si="19"/>
        <v>0</v>
      </c>
      <c r="Z126" s="230">
        <f t="shared" si="20"/>
        <v>0</v>
      </c>
      <c r="AA126" s="230">
        <f t="shared" si="21"/>
        <v>0</v>
      </c>
      <c r="AB126" s="230">
        <f t="shared" si="22"/>
        <v>0</v>
      </c>
      <c r="AC126" s="230">
        <f t="shared" si="23"/>
        <v>0</v>
      </c>
      <c r="AD126" s="230">
        <f t="shared" si="24"/>
        <v>0</v>
      </c>
      <c r="AE126" s="230">
        <f t="shared" si="25"/>
        <v>0</v>
      </c>
      <c r="AF126" s="230">
        <f t="shared" si="26"/>
        <v>0</v>
      </c>
      <c r="AG126" s="230">
        <f t="shared" si="27"/>
        <v>0</v>
      </c>
    </row>
    <row r="127" spans="1:33">
      <c r="A127" t="str">
        <f>IF(ABS(H127)&gt;0,基础信息!$B$1,"")</f>
        <v/>
      </c>
      <c r="S127" s="229">
        <f t="shared" si="19"/>
        <v>0</v>
      </c>
      <c r="Z127" s="230">
        <f t="shared" si="20"/>
        <v>0</v>
      </c>
      <c r="AA127" s="230">
        <f t="shared" si="21"/>
        <v>0</v>
      </c>
      <c r="AB127" s="230">
        <f t="shared" si="22"/>
        <v>0</v>
      </c>
      <c r="AC127" s="230">
        <f t="shared" si="23"/>
        <v>0</v>
      </c>
      <c r="AD127" s="230">
        <f t="shared" si="24"/>
        <v>0</v>
      </c>
      <c r="AE127" s="230">
        <f t="shared" si="25"/>
        <v>0</v>
      </c>
      <c r="AF127" s="230">
        <f t="shared" si="26"/>
        <v>0</v>
      </c>
      <c r="AG127" s="230">
        <f t="shared" si="27"/>
        <v>0</v>
      </c>
    </row>
    <row r="128" spans="1:33">
      <c r="A128" t="str">
        <f>IF(ABS(H128)&gt;0,基础信息!$B$1,"")</f>
        <v/>
      </c>
      <c r="S128" s="229">
        <f t="shared" si="19"/>
        <v>0</v>
      </c>
      <c r="Z128" s="230">
        <f t="shared" si="20"/>
        <v>0</v>
      </c>
      <c r="AA128" s="230">
        <f t="shared" si="21"/>
        <v>0</v>
      </c>
      <c r="AB128" s="230">
        <f t="shared" si="22"/>
        <v>0</v>
      </c>
      <c r="AC128" s="230">
        <f t="shared" si="23"/>
        <v>0</v>
      </c>
      <c r="AD128" s="230">
        <f t="shared" si="24"/>
        <v>0</v>
      </c>
      <c r="AE128" s="230">
        <f t="shared" si="25"/>
        <v>0</v>
      </c>
      <c r="AF128" s="230">
        <f t="shared" si="26"/>
        <v>0</v>
      </c>
      <c r="AG128" s="230">
        <f t="shared" si="27"/>
        <v>0</v>
      </c>
    </row>
    <row r="129" spans="1:33">
      <c r="A129" t="str">
        <f>IF(ABS(H129)&gt;0,基础信息!$B$1,"")</f>
        <v/>
      </c>
      <c r="S129" s="229">
        <f t="shared" si="19"/>
        <v>0</v>
      </c>
      <c r="Z129" s="230">
        <f t="shared" si="20"/>
        <v>0</v>
      </c>
      <c r="AA129" s="230">
        <f t="shared" si="21"/>
        <v>0</v>
      </c>
      <c r="AB129" s="230">
        <f t="shared" si="22"/>
        <v>0</v>
      </c>
      <c r="AC129" s="230">
        <f t="shared" si="23"/>
        <v>0</v>
      </c>
      <c r="AD129" s="230">
        <f t="shared" si="24"/>
        <v>0</v>
      </c>
      <c r="AE129" s="230">
        <f t="shared" si="25"/>
        <v>0</v>
      </c>
      <c r="AF129" s="230">
        <f t="shared" si="26"/>
        <v>0</v>
      </c>
      <c r="AG129" s="230">
        <f t="shared" si="27"/>
        <v>0</v>
      </c>
    </row>
    <row r="130" spans="1:33">
      <c r="A130" t="str">
        <f>IF(ABS(H130)&gt;0,基础信息!$B$1,"")</f>
        <v/>
      </c>
      <c r="S130" s="229">
        <f t="shared" si="19"/>
        <v>0</v>
      </c>
      <c r="Z130" s="230">
        <f t="shared" si="20"/>
        <v>0</v>
      </c>
      <c r="AA130" s="230">
        <f t="shared" si="21"/>
        <v>0</v>
      </c>
      <c r="AB130" s="230">
        <f t="shared" si="22"/>
        <v>0</v>
      </c>
      <c r="AC130" s="230">
        <f t="shared" si="23"/>
        <v>0</v>
      </c>
      <c r="AD130" s="230">
        <f t="shared" si="24"/>
        <v>0</v>
      </c>
      <c r="AE130" s="230">
        <f t="shared" si="25"/>
        <v>0</v>
      </c>
      <c r="AF130" s="230">
        <f t="shared" si="26"/>
        <v>0</v>
      </c>
      <c r="AG130" s="230">
        <f t="shared" si="27"/>
        <v>0</v>
      </c>
    </row>
    <row r="131" spans="1:33">
      <c r="A131" t="str">
        <f>IF(ABS(H131)&gt;0,基础信息!$B$1,"")</f>
        <v/>
      </c>
      <c r="S131" s="229">
        <f t="shared" si="19"/>
        <v>0</v>
      </c>
      <c r="Z131" s="230">
        <f t="shared" si="20"/>
        <v>0</v>
      </c>
      <c r="AA131" s="230">
        <f t="shared" si="21"/>
        <v>0</v>
      </c>
      <c r="AB131" s="230">
        <f t="shared" si="22"/>
        <v>0</v>
      </c>
      <c r="AC131" s="230">
        <f t="shared" si="23"/>
        <v>0</v>
      </c>
      <c r="AD131" s="230">
        <f t="shared" si="24"/>
        <v>0</v>
      </c>
      <c r="AE131" s="230">
        <f t="shared" si="25"/>
        <v>0</v>
      </c>
      <c r="AF131" s="230">
        <f t="shared" si="26"/>
        <v>0</v>
      </c>
      <c r="AG131" s="230">
        <f t="shared" si="27"/>
        <v>0</v>
      </c>
    </row>
    <row r="132" spans="1:33">
      <c r="A132" t="str">
        <f>IF(ABS(H132)&gt;0,基础信息!$B$1,"")</f>
        <v/>
      </c>
      <c r="S132" s="229">
        <f t="shared" si="19"/>
        <v>0</v>
      </c>
      <c r="Z132" s="230">
        <f t="shared" si="20"/>
        <v>0</v>
      </c>
      <c r="AA132" s="230">
        <f t="shared" si="21"/>
        <v>0</v>
      </c>
      <c r="AB132" s="230">
        <f t="shared" si="22"/>
        <v>0</v>
      </c>
      <c r="AC132" s="230">
        <f t="shared" si="23"/>
        <v>0</v>
      </c>
      <c r="AD132" s="230">
        <f t="shared" si="24"/>
        <v>0</v>
      </c>
      <c r="AE132" s="230">
        <f t="shared" si="25"/>
        <v>0</v>
      </c>
      <c r="AF132" s="230">
        <f t="shared" si="26"/>
        <v>0</v>
      </c>
      <c r="AG132" s="230">
        <f t="shared" si="27"/>
        <v>0</v>
      </c>
    </row>
    <row r="133" spans="1:33">
      <c r="A133" t="str">
        <f>IF(ABS(H133)&gt;0,基础信息!$B$1,"")</f>
        <v/>
      </c>
      <c r="S133" s="229">
        <f t="shared" si="19"/>
        <v>0</v>
      </c>
      <c r="Z133" s="230">
        <f t="shared" si="20"/>
        <v>0</v>
      </c>
      <c r="AA133" s="230">
        <f t="shared" si="21"/>
        <v>0</v>
      </c>
      <c r="AB133" s="230">
        <f t="shared" si="22"/>
        <v>0</v>
      </c>
      <c r="AC133" s="230">
        <f t="shared" si="23"/>
        <v>0</v>
      </c>
      <c r="AD133" s="230">
        <f t="shared" si="24"/>
        <v>0</v>
      </c>
      <c r="AE133" s="230">
        <f t="shared" si="25"/>
        <v>0</v>
      </c>
      <c r="AF133" s="230">
        <f t="shared" si="26"/>
        <v>0</v>
      </c>
      <c r="AG133" s="230">
        <f t="shared" si="27"/>
        <v>0</v>
      </c>
    </row>
    <row r="134" spans="1:33">
      <c r="A134" t="str">
        <f>IF(ABS(H134)&gt;0,基础信息!$B$1,"")</f>
        <v/>
      </c>
      <c r="S134" s="229">
        <f t="shared" si="19"/>
        <v>0</v>
      </c>
      <c r="Z134" s="230">
        <f t="shared" si="20"/>
        <v>0</v>
      </c>
      <c r="AA134" s="230">
        <f t="shared" si="21"/>
        <v>0</v>
      </c>
      <c r="AB134" s="230">
        <f t="shared" si="22"/>
        <v>0</v>
      </c>
      <c r="AC134" s="230">
        <f t="shared" si="23"/>
        <v>0</v>
      </c>
      <c r="AD134" s="230">
        <f t="shared" si="24"/>
        <v>0</v>
      </c>
      <c r="AE134" s="230">
        <f t="shared" si="25"/>
        <v>0</v>
      </c>
      <c r="AF134" s="230">
        <f t="shared" si="26"/>
        <v>0</v>
      </c>
      <c r="AG134" s="230">
        <f t="shared" si="27"/>
        <v>0</v>
      </c>
    </row>
    <row r="135" spans="1:33">
      <c r="A135" t="str">
        <f>IF(ABS(H135)&gt;0,基础信息!$B$1,"")</f>
        <v/>
      </c>
      <c r="S135" s="229">
        <f t="shared" si="19"/>
        <v>0</v>
      </c>
      <c r="Z135" s="230">
        <f t="shared" si="20"/>
        <v>0</v>
      </c>
      <c r="AA135" s="230">
        <f t="shared" si="21"/>
        <v>0</v>
      </c>
      <c r="AB135" s="230">
        <f t="shared" si="22"/>
        <v>0</v>
      </c>
      <c r="AC135" s="230">
        <f t="shared" si="23"/>
        <v>0</v>
      </c>
      <c r="AD135" s="230">
        <f t="shared" si="24"/>
        <v>0</v>
      </c>
      <c r="AE135" s="230">
        <f t="shared" si="25"/>
        <v>0</v>
      </c>
      <c r="AF135" s="230">
        <f t="shared" si="26"/>
        <v>0</v>
      </c>
      <c r="AG135" s="230">
        <f t="shared" si="27"/>
        <v>0</v>
      </c>
    </row>
    <row r="136" spans="1:33">
      <c r="A136" t="str">
        <f>IF(ABS(H136)&gt;0,基础信息!$B$1,"")</f>
        <v/>
      </c>
      <c r="S136" s="229">
        <f t="shared" si="19"/>
        <v>0</v>
      </c>
      <c r="Z136" s="230">
        <f t="shared" si="20"/>
        <v>0</v>
      </c>
      <c r="AA136" s="230">
        <f t="shared" si="21"/>
        <v>0</v>
      </c>
      <c r="AB136" s="230">
        <f t="shared" si="22"/>
        <v>0</v>
      </c>
      <c r="AC136" s="230">
        <f t="shared" si="23"/>
        <v>0</v>
      </c>
      <c r="AD136" s="230">
        <f t="shared" si="24"/>
        <v>0</v>
      </c>
      <c r="AE136" s="230">
        <f t="shared" si="25"/>
        <v>0</v>
      </c>
      <c r="AF136" s="230">
        <f t="shared" si="26"/>
        <v>0</v>
      </c>
      <c r="AG136" s="230">
        <f t="shared" si="27"/>
        <v>0</v>
      </c>
    </row>
    <row r="137" spans="1:33">
      <c r="A137" t="str">
        <f>IF(ABS(H137)&gt;0,基础信息!$B$1,"")</f>
        <v/>
      </c>
      <c r="S137" s="229">
        <f t="shared" si="19"/>
        <v>0</v>
      </c>
      <c r="Z137" s="230">
        <f t="shared" si="20"/>
        <v>0</v>
      </c>
      <c r="AA137" s="230">
        <f t="shared" si="21"/>
        <v>0</v>
      </c>
      <c r="AB137" s="230">
        <f t="shared" si="22"/>
        <v>0</v>
      </c>
      <c r="AC137" s="230">
        <f t="shared" si="23"/>
        <v>0</v>
      </c>
      <c r="AD137" s="230">
        <f t="shared" si="24"/>
        <v>0</v>
      </c>
      <c r="AE137" s="230">
        <f t="shared" si="25"/>
        <v>0</v>
      </c>
      <c r="AF137" s="230">
        <f t="shared" si="26"/>
        <v>0</v>
      </c>
      <c r="AG137" s="230">
        <f t="shared" si="27"/>
        <v>0</v>
      </c>
    </row>
    <row r="138" spans="1:33">
      <c r="A138" t="str">
        <f>IF(ABS(H138)&gt;0,基础信息!$B$1,"")</f>
        <v/>
      </c>
      <c r="S138" s="229">
        <f t="shared" si="19"/>
        <v>0</v>
      </c>
      <c r="Z138" s="230">
        <f t="shared" si="20"/>
        <v>0</v>
      </c>
      <c r="AA138" s="230">
        <f t="shared" si="21"/>
        <v>0</v>
      </c>
      <c r="AB138" s="230">
        <f t="shared" si="22"/>
        <v>0</v>
      </c>
      <c r="AC138" s="230">
        <f t="shared" si="23"/>
        <v>0</v>
      </c>
      <c r="AD138" s="230">
        <f t="shared" si="24"/>
        <v>0</v>
      </c>
      <c r="AE138" s="230">
        <f t="shared" si="25"/>
        <v>0</v>
      </c>
      <c r="AF138" s="230">
        <f t="shared" si="26"/>
        <v>0</v>
      </c>
      <c r="AG138" s="230">
        <f t="shared" si="27"/>
        <v>0</v>
      </c>
    </row>
    <row r="139" spans="1:33">
      <c r="A139" t="str">
        <f>IF(ABS(H139)&gt;0,基础信息!$B$1,"")</f>
        <v/>
      </c>
      <c r="S139" s="229">
        <f t="shared" si="19"/>
        <v>0</v>
      </c>
      <c r="Z139" s="230">
        <f t="shared" si="20"/>
        <v>0</v>
      </c>
      <c r="AA139" s="230">
        <f t="shared" si="21"/>
        <v>0</v>
      </c>
      <c r="AB139" s="230">
        <f t="shared" si="22"/>
        <v>0</v>
      </c>
      <c r="AC139" s="230">
        <f t="shared" si="23"/>
        <v>0</v>
      </c>
      <c r="AD139" s="230">
        <f t="shared" si="24"/>
        <v>0</v>
      </c>
      <c r="AE139" s="230">
        <f t="shared" si="25"/>
        <v>0</v>
      </c>
      <c r="AF139" s="230">
        <f t="shared" si="26"/>
        <v>0</v>
      </c>
      <c r="AG139" s="230">
        <f t="shared" si="27"/>
        <v>0</v>
      </c>
    </row>
    <row r="140" spans="1:33">
      <c r="A140" t="str">
        <f>IF(ABS(H140)&gt;0,基础信息!$B$1,"")</f>
        <v/>
      </c>
      <c r="S140" s="229">
        <f t="shared" si="19"/>
        <v>0</v>
      </c>
      <c r="Z140" s="230">
        <f t="shared" si="20"/>
        <v>0</v>
      </c>
      <c r="AA140" s="230">
        <f t="shared" si="21"/>
        <v>0</v>
      </c>
      <c r="AB140" s="230">
        <f t="shared" si="22"/>
        <v>0</v>
      </c>
      <c r="AC140" s="230">
        <f t="shared" si="23"/>
        <v>0</v>
      </c>
      <c r="AD140" s="230">
        <f t="shared" si="24"/>
        <v>0</v>
      </c>
      <c r="AE140" s="230">
        <f t="shared" si="25"/>
        <v>0</v>
      </c>
      <c r="AF140" s="230">
        <f t="shared" si="26"/>
        <v>0</v>
      </c>
      <c r="AG140" s="230">
        <f t="shared" si="27"/>
        <v>0</v>
      </c>
    </row>
    <row r="141" spans="1:33">
      <c r="A141" t="str">
        <f>IF(ABS(H141)&gt;0,基础信息!$B$1,"")</f>
        <v/>
      </c>
      <c r="S141" s="229">
        <f t="shared" si="19"/>
        <v>0</v>
      </c>
      <c r="Z141" s="230">
        <f t="shared" si="20"/>
        <v>0</v>
      </c>
      <c r="AA141" s="230">
        <f t="shared" si="21"/>
        <v>0</v>
      </c>
      <c r="AB141" s="230">
        <f t="shared" si="22"/>
        <v>0</v>
      </c>
      <c r="AC141" s="230">
        <f t="shared" si="23"/>
        <v>0</v>
      </c>
      <c r="AD141" s="230">
        <f t="shared" si="24"/>
        <v>0</v>
      </c>
      <c r="AE141" s="230">
        <f t="shared" si="25"/>
        <v>0</v>
      </c>
      <c r="AF141" s="230">
        <f t="shared" si="26"/>
        <v>0</v>
      </c>
      <c r="AG141" s="230">
        <f t="shared" si="27"/>
        <v>0</v>
      </c>
    </row>
    <row r="142" spans="1:33">
      <c r="A142" t="str">
        <f>IF(ABS(H142)&gt;0,基础信息!$B$1,"")</f>
        <v/>
      </c>
      <c r="S142" s="229">
        <f t="shared" si="19"/>
        <v>0</v>
      </c>
      <c r="Z142" s="230">
        <f t="shared" si="20"/>
        <v>0</v>
      </c>
      <c r="AA142" s="230">
        <f t="shared" si="21"/>
        <v>0</v>
      </c>
      <c r="AB142" s="230">
        <f t="shared" si="22"/>
        <v>0</v>
      </c>
      <c r="AC142" s="230">
        <f t="shared" si="23"/>
        <v>0</v>
      </c>
      <c r="AD142" s="230">
        <f t="shared" si="24"/>
        <v>0</v>
      </c>
      <c r="AE142" s="230">
        <f t="shared" si="25"/>
        <v>0</v>
      </c>
      <c r="AF142" s="230">
        <f t="shared" si="26"/>
        <v>0</v>
      </c>
      <c r="AG142" s="230">
        <f t="shared" si="27"/>
        <v>0</v>
      </c>
    </row>
    <row r="143" spans="1:33">
      <c r="A143" t="str">
        <f>IF(ABS(H143)&gt;0,基础信息!$B$1,"")</f>
        <v/>
      </c>
      <c r="S143" s="229">
        <f t="shared" si="19"/>
        <v>0</v>
      </c>
      <c r="Z143" s="230">
        <f t="shared" si="20"/>
        <v>0</v>
      </c>
      <c r="AA143" s="230">
        <f t="shared" si="21"/>
        <v>0</v>
      </c>
      <c r="AB143" s="230">
        <f t="shared" si="22"/>
        <v>0</v>
      </c>
      <c r="AC143" s="230">
        <f t="shared" si="23"/>
        <v>0</v>
      </c>
      <c r="AD143" s="230">
        <f t="shared" si="24"/>
        <v>0</v>
      </c>
      <c r="AE143" s="230">
        <f t="shared" si="25"/>
        <v>0</v>
      </c>
      <c r="AF143" s="230">
        <f t="shared" si="26"/>
        <v>0</v>
      </c>
      <c r="AG143" s="230">
        <f t="shared" si="27"/>
        <v>0</v>
      </c>
    </row>
    <row r="144" spans="1:33">
      <c r="A144" t="str">
        <f>IF(ABS(H144)&gt;0,基础信息!$B$1,"")</f>
        <v/>
      </c>
      <c r="S144" s="229">
        <f t="shared" si="19"/>
        <v>0</v>
      </c>
      <c r="Z144" s="230">
        <f t="shared" si="20"/>
        <v>0</v>
      </c>
      <c r="AA144" s="230">
        <f t="shared" si="21"/>
        <v>0</v>
      </c>
      <c r="AB144" s="230">
        <f t="shared" si="22"/>
        <v>0</v>
      </c>
      <c r="AC144" s="230">
        <f t="shared" si="23"/>
        <v>0</v>
      </c>
      <c r="AD144" s="230">
        <f t="shared" si="24"/>
        <v>0</v>
      </c>
      <c r="AE144" s="230">
        <f t="shared" si="25"/>
        <v>0</v>
      </c>
      <c r="AF144" s="230">
        <f t="shared" si="26"/>
        <v>0</v>
      </c>
      <c r="AG144" s="230">
        <f t="shared" si="27"/>
        <v>0</v>
      </c>
    </row>
    <row r="145" spans="1:33">
      <c r="A145" t="str">
        <f>IF(ABS(H145)&gt;0,基础信息!$B$1,"")</f>
        <v/>
      </c>
      <c r="S145" s="229">
        <f t="shared" si="19"/>
        <v>0</v>
      </c>
      <c r="Z145" s="230">
        <f t="shared" si="20"/>
        <v>0</v>
      </c>
      <c r="AA145" s="230">
        <f t="shared" si="21"/>
        <v>0</v>
      </c>
      <c r="AB145" s="230">
        <f t="shared" si="22"/>
        <v>0</v>
      </c>
      <c r="AC145" s="230">
        <f t="shared" si="23"/>
        <v>0</v>
      </c>
      <c r="AD145" s="230">
        <f t="shared" si="24"/>
        <v>0</v>
      </c>
      <c r="AE145" s="230">
        <f t="shared" si="25"/>
        <v>0</v>
      </c>
      <c r="AF145" s="230">
        <f t="shared" si="26"/>
        <v>0</v>
      </c>
      <c r="AG145" s="230">
        <f t="shared" si="27"/>
        <v>0</v>
      </c>
    </row>
    <row r="146" spans="1:33">
      <c r="A146" t="str">
        <f>IF(ABS(H146)&gt;0,基础信息!$B$1,"")</f>
        <v/>
      </c>
      <c r="S146" s="229">
        <f t="shared" si="19"/>
        <v>0</v>
      </c>
      <c r="Z146" s="230">
        <f t="shared" si="20"/>
        <v>0</v>
      </c>
      <c r="AA146" s="230">
        <f t="shared" si="21"/>
        <v>0</v>
      </c>
      <c r="AB146" s="230">
        <f t="shared" si="22"/>
        <v>0</v>
      </c>
      <c r="AC146" s="230">
        <f t="shared" si="23"/>
        <v>0</v>
      </c>
      <c r="AD146" s="230">
        <f t="shared" si="24"/>
        <v>0</v>
      </c>
      <c r="AE146" s="230">
        <f t="shared" si="25"/>
        <v>0</v>
      </c>
      <c r="AF146" s="230">
        <f t="shared" si="26"/>
        <v>0</v>
      </c>
      <c r="AG146" s="230">
        <f t="shared" si="27"/>
        <v>0</v>
      </c>
    </row>
    <row r="147" spans="1:33">
      <c r="A147" t="str">
        <f>IF(ABS(H147)&gt;0,基础信息!$B$1,"")</f>
        <v/>
      </c>
      <c r="S147" s="229">
        <f t="shared" si="19"/>
        <v>0</v>
      </c>
      <c r="Z147" s="230">
        <f t="shared" si="20"/>
        <v>0</v>
      </c>
      <c r="AA147" s="230">
        <f t="shared" si="21"/>
        <v>0</v>
      </c>
      <c r="AB147" s="230">
        <f t="shared" si="22"/>
        <v>0</v>
      </c>
      <c r="AC147" s="230">
        <f t="shared" si="23"/>
        <v>0</v>
      </c>
      <c r="AD147" s="230">
        <f t="shared" si="24"/>
        <v>0</v>
      </c>
      <c r="AE147" s="230">
        <f t="shared" si="25"/>
        <v>0</v>
      </c>
      <c r="AF147" s="230">
        <f t="shared" si="26"/>
        <v>0</v>
      </c>
      <c r="AG147" s="230">
        <f t="shared" si="27"/>
        <v>0</v>
      </c>
    </row>
    <row r="148" spans="1:33">
      <c r="A148" t="str">
        <f>IF(ABS(H148)&gt;0,基础信息!$B$1,"")</f>
        <v/>
      </c>
      <c r="S148" s="229">
        <f t="shared" si="19"/>
        <v>0</v>
      </c>
      <c r="Z148" s="230">
        <f t="shared" si="20"/>
        <v>0</v>
      </c>
      <c r="AA148" s="230">
        <f t="shared" si="21"/>
        <v>0</v>
      </c>
      <c r="AB148" s="230">
        <f t="shared" si="22"/>
        <v>0</v>
      </c>
      <c r="AC148" s="230">
        <f t="shared" si="23"/>
        <v>0</v>
      </c>
      <c r="AD148" s="230">
        <f t="shared" si="24"/>
        <v>0</v>
      </c>
      <c r="AE148" s="230">
        <f t="shared" si="25"/>
        <v>0</v>
      </c>
      <c r="AF148" s="230">
        <f t="shared" si="26"/>
        <v>0</v>
      </c>
      <c r="AG148" s="230">
        <f t="shared" si="27"/>
        <v>0</v>
      </c>
    </row>
    <row r="149" spans="1:33">
      <c r="A149" t="str">
        <f>IF(ABS(H149)&gt;0,基础信息!$B$1,"")</f>
        <v/>
      </c>
      <c r="S149" s="229">
        <f t="shared" ref="S149:S212" si="28">O149+P149-Q149-R149</f>
        <v>0</v>
      </c>
      <c r="Z149" s="230">
        <f t="shared" ref="Z149:Z212" si="29">H149-S149</f>
        <v>0</v>
      </c>
      <c r="AA149" s="230">
        <f t="shared" ref="AA149:AA212" si="30">I149-T149</f>
        <v>0</v>
      </c>
      <c r="AB149" s="230">
        <f t="shared" ref="AB149:AB212" si="31">J149-U149</f>
        <v>0</v>
      </c>
      <c r="AC149" s="230">
        <f t="shared" ref="AC149:AC212" si="32">K149-V149</f>
        <v>0</v>
      </c>
      <c r="AD149" s="230">
        <f t="shared" ref="AD149:AD212" si="33">L149-W149</f>
        <v>0</v>
      </c>
      <c r="AE149" s="230">
        <f t="shared" ref="AE149:AE212" si="34">M149-X149</f>
        <v>0</v>
      </c>
      <c r="AF149" s="230">
        <f t="shared" ref="AF149:AF212" si="35">N149-Y149</f>
        <v>0</v>
      </c>
      <c r="AG149" s="230">
        <f t="shared" ref="AG149:AG212" si="36">S149-SUM(T149:Y149)</f>
        <v>0</v>
      </c>
    </row>
    <row r="150" spans="1:33">
      <c r="A150" t="str">
        <f>IF(ABS(H150)&gt;0,基础信息!$B$1,"")</f>
        <v/>
      </c>
      <c r="S150" s="229">
        <f t="shared" si="28"/>
        <v>0</v>
      </c>
      <c r="Z150" s="230">
        <f t="shared" si="29"/>
        <v>0</v>
      </c>
      <c r="AA150" s="230">
        <f t="shared" si="30"/>
        <v>0</v>
      </c>
      <c r="AB150" s="230">
        <f t="shared" si="31"/>
        <v>0</v>
      </c>
      <c r="AC150" s="230">
        <f t="shared" si="32"/>
        <v>0</v>
      </c>
      <c r="AD150" s="230">
        <f t="shared" si="33"/>
        <v>0</v>
      </c>
      <c r="AE150" s="230">
        <f t="shared" si="34"/>
        <v>0</v>
      </c>
      <c r="AF150" s="230">
        <f t="shared" si="35"/>
        <v>0</v>
      </c>
      <c r="AG150" s="230">
        <f t="shared" si="36"/>
        <v>0</v>
      </c>
    </row>
    <row r="151" spans="1:33">
      <c r="A151" t="str">
        <f>IF(ABS(H151)&gt;0,基础信息!$B$1,"")</f>
        <v/>
      </c>
      <c r="S151" s="229">
        <f t="shared" si="28"/>
        <v>0</v>
      </c>
      <c r="Z151" s="230">
        <f t="shared" si="29"/>
        <v>0</v>
      </c>
      <c r="AA151" s="230">
        <f t="shared" si="30"/>
        <v>0</v>
      </c>
      <c r="AB151" s="230">
        <f t="shared" si="31"/>
        <v>0</v>
      </c>
      <c r="AC151" s="230">
        <f t="shared" si="32"/>
        <v>0</v>
      </c>
      <c r="AD151" s="230">
        <f t="shared" si="33"/>
        <v>0</v>
      </c>
      <c r="AE151" s="230">
        <f t="shared" si="34"/>
        <v>0</v>
      </c>
      <c r="AF151" s="230">
        <f t="shared" si="35"/>
        <v>0</v>
      </c>
      <c r="AG151" s="230">
        <f t="shared" si="36"/>
        <v>0</v>
      </c>
    </row>
    <row r="152" spans="1:33">
      <c r="A152" t="str">
        <f>IF(ABS(H152)&gt;0,基础信息!$B$1,"")</f>
        <v/>
      </c>
      <c r="S152" s="229">
        <f t="shared" si="28"/>
        <v>0</v>
      </c>
      <c r="Z152" s="230">
        <f t="shared" si="29"/>
        <v>0</v>
      </c>
      <c r="AA152" s="230">
        <f t="shared" si="30"/>
        <v>0</v>
      </c>
      <c r="AB152" s="230">
        <f t="shared" si="31"/>
        <v>0</v>
      </c>
      <c r="AC152" s="230">
        <f t="shared" si="32"/>
        <v>0</v>
      </c>
      <c r="AD152" s="230">
        <f t="shared" si="33"/>
        <v>0</v>
      </c>
      <c r="AE152" s="230">
        <f t="shared" si="34"/>
        <v>0</v>
      </c>
      <c r="AF152" s="230">
        <f t="shared" si="35"/>
        <v>0</v>
      </c>
      <c r="AG152" s="230">
        <f t="shared" si="36"/>
        <v>0</v>
      </c>
    </row>
    <row r="153" spans="1:33">
      <c r="A153" t="str">
        <f>IF(ABS(H153)&gt;0,基础信息!$B$1,"")</f>
        <v/>
      </c>
      <c r="S153" s="229">
        <f t="shared" si="28"/>
        <v>0</v>
      </c>
      <c r="Z153" s="230">
        <f t="shared" si="29"/>
        <v>0</v>
      </c>
      <c r="AA153" s="230">
        <f t="shared" si="30"/>
        <v>0</v>
      </c>
      <c r="AB153" s="230">
        <f t="shared" si="31"/>
        <v>0</v>
      </c>
      <c r="AC153" s="230">
        <f t="shared" si="32"/>
        <v>0</v>
      </c>
      <c r="AD153" s="230">
        <f t="shared" si="33"/>
        <v>0</v>
      </c>
      <c r="AE153" s="230">
        <f t="shared" si="34"/>
        <v>0</v>
      </c>
      <c r="AF153" s="230">
        <f t="shared" si="35"/>
        <v>0</v>
      </c>
      <c r="AG153" s="230">
        <f t="shared" si="36"/>
        <v>0</v>
      </c>
    </row>
    <row r="154" spans="1:33">
      <c r="A154" t="str">
        <f>IF(ABS(H154)&gt;0,基础信息!$B$1,"")</f>
        <v/>
      </c>
      <c r="S154" s="229">
        <f t="shared" si="28"/>
        <v>0</v>
      </c>
      <c r="Z154" s="230">
        <f t="shared" si="29"/>
        <v>0</v>
      </c>
      <c r="AA154" s="230">
        <f t="shared" si="30"/>
        <v>0</v>
      </c>
      <c r="AB154" s="230">
        <f t="shared" si="31"/>
        <v>0</v>
      </c>
      <c r="AC154" s="230">
        <f t="shared" si="32"/>
        <v>0</v>
      </c>
      <c r="AD154" s="230">
        <f t="shared" si="33"/>
        <v>0</v>
      </c>
      <c r="AE154" s="230">
        <f t="shared" si="34"/>
        <v>0</v>
      </c>
      <c r="AF154" s="230">
        <f t="shared" si="35"/>
        <v>0</v>
      </c>
      <c r="AG154" s="230">
        <f t="shared" si="36"/>
        <v>0</v>
      </c>
    </row>
    <row r="155" spans="1:33">
      <c r="A155" t="str">
        <f>IF(ABS(H155)&gt;0,基础信息!$B$1,"")</f>
        <v/>
      </c>
      <c r="S155" s="229">
        <f t="shared" si="28"/>
        <v>0</v>
      </c>
      <c r="Z155" s="230">
        <f t="shared" si="29"/>
        <v>0</v>
      </c>
      <c r="AA155" s="230">
        <f t="shared" si="30"/>
        <v>0</v>
      </c>
      <c r="AB155" s="230">
        <f t="shared" si="31"/>
        <v>0</v>
      </c>
      <c r="AC155" s="230">
        <f t="shared" si="32"/>
        <v>0</v>
      </c>
      <c r="AD155" s="230">
        <f t="shared" si="33"/>
        <v>0</v>
      </c>
      <c r="AE155" s="230">
        <f t="shared" si="34"/>
        <v>0</v>
      </c>
      <c r="AF155" s="230">
        <f t="shared" si="35"/>
        <v>0</v>
      </c>
      <c r="AG155" s="230">
        <f t="shared" si="36"/>
        <v>0</v>
      </c>
    </row>
    <row r="156" spans="1:33">
      <c r="A156" t="str">
        <f>IF(ABS(H156)&gt;0,基础信息!$B$1,"")</f>
        <v/>
      </c>
      <c r="S156" s="229">
        <f t="shared" si="28"/>
        <v>0</v>
      </c>
      <c r="Z156" s="230">
        <f t="shared" si="29"/>
        <v>0</v>
      </c>
      <c r="AA156" s="230">
        <f t="shared" si="30"/>
        <v>0</v>
      </c>
      <c r="AB156" s="230">
        <f t="shared" si="31"/>
        <v>0</v>
      </c>
      <c r="AC156" s="230">
        <f t="shared" si="32"/>
        <v>0</v>
      </c>
      <c r="AD156" s="230">
        <f t="shared" si="33"/>
        <v>0</v>
      </c>
      <c r="AE156" s="230">
        <f t="shared" si="34"/>
        <v>0</v>
      </c>
      <c r="AF156" s="230">
        <f t="shared" si="35"/>
        <v>0</v>
      </c>
      <c r="AG156" s="230">
        <f t="shared" si="36"/>
        <v>0</v>
      </c>
    </row>
    <row r="157" spans="1:33">
      <c r="A157" t="str">
        <f>IF(ABS(H157)&gt;0,基础信息!$B$1,"")</f>
        <v/>
      </c>
      <c r="S157" s="229">
        <f t="shared" si="28"/>
        <v>0</v>
      </c>
      <c r="Z157" s="230">
        <f t="shared" si="29"/>
        <v>0</v>
      </c>
      <c r="AA157" s="230">
        <f t="shared" si="30"/>
        <v>0</v>
      </c>
      <c r="AB157" s="230">
        <f t="shared" si="31"/>
        <v>0</v>
      </c>
      <c r="AC157" s="230">
        <f t="shared" si="32"/>
        <v>0</v>
      </c>
      <c r="AD157" s="230">
        <f t="shared" si="33"/>
        <v>0</v>
      </c>
      <c r="AE157" s="230">
        <f t="shared" si="34"/>
        <v>0</v>
      </c>
      <c r="AF157" s="230">
        <f t="shared" si="35"/>
        <v>0</v>
      </c>
      <c r="AG157" s="230">
        <f t="shared" si="36"/>
        <v>0</v>
      </c>
    </row>
    <row r="158" spans="1:33">
      <c r="A158" t="str">
        <f>IF(ABS(H158)&gt;0,基础信息!$B$1,"")</f>
        <v/>
      </c>
      <c r="S158" s="229">
        <f t="shared" si="28"/>
        <v>0</v>
      </c>
      <c r="Z158" s="230">
        <f t="shared" si="29"/>
        <v>0</v>
      </c>
      <c r="AA158" s="230">
        <f t="shared" si="30"/>
        <v>0</v>
      </c>
      <c r="AB158" s="230">
        <f t="shared" si="31"/>
        <v>0</v>
      </c>
      <c r="AC158" s="230">
        <f t="shared" si="32"/>
        <v>0</v>
      </c>
      <c r="AD158" s="230">
        <f t="shared" si="33"/>
        <v>0</v>
      </c>
      <c r="AE158" s="230">
        <f t="shared" si="34"/>
        <v>0</v>
      </c>
      <c r="AF158" s="230">
        <f t="shared" si="35"/>
        <v>0</v>
      </c>
      <c r="AG158" s="230">
        <f t="shared" si="36"/>
        <v>0</v>
      </c>
    </row>
    <row r="159" spans="1:33">
      <c r="A159" t="str">
        <f>IF(ABS(H159)&gt;0,基础信息!$B$1,"")</f>
        <v/>
      </c>
      <c r="S159" s="229">
        <f t="shared" si="28"/>
        <v>0</v>
      </c>
      <c r="Z159" s="230">
        <f t="shared" si="29"/>
        <v>0</v>
      </c>
      <c r="AA159" s="230">
        <f t="shared" si="30"/>
        <v>0</v>
      </c>
      <c r="AB159" s="230">
        <f t="shared" si="31"/>
        <v>0</v>
      </c>
      <c r="AC159" s="230">
        <f t="shared" si="32"/>
        <v>0</v>
      </c>
      <c r="AD159" s="230">
        <f t="shared" si="33"/>
        <v>0</v>
      </c>
      <c r="AE159" s="230">
        <f t="shared" si="34"/>
        <v>0</v>
      </c>
      <c r="AF159" s="230">
        <f t="shared" si="35"/>
        <v>0</v>
      </c>
      <c r="AG159" s="230">
        <f t="shared" si="36"/>
        <v>0</v>
      </c>
    </row>
    <row r="160" spans="1:33">
      <c r="A160" t="str">
        <f>IF(ABS(H160)&gt;0,基础信息!$B$1,"")</f>
        <v/>
      </c>
      <c r="S160" s="229">
        <f t="shared" si="28"/>
        <v>0</v>
      </c>
      <c r="Z160" s="230">
        <f t="shared" si="29"/>
        <v>0</v>
      </c>
      <c r="AA160" s="230">
        <f t="shared" si="30"/>
        <v>0</v>
      </c>
      <c r="AB160" s="230">
        <f t="shared" si="31"/>
        <v>0</v>
      </c>
      <c r="AC160" s="230">
        <f t="shared" si="32"/>
        <v>0</v>
      </c>
      <c r="AD160" s="230">
        <f t="shared" si="33"/>
        <v>0</v>
      </c>
      <c r="AE160" s="230">
        <f t="shared" si="34"/>
        <v>0</v>
      </c>
      <c r="AF160" s="230">
        <f t="shared" si="35"/>
        <v>0</v>
      </c>
      <c r="AG160" s="230">
        <f t="shared" si="36"/>
        <v>0</v>
      </c>
    </row>
    <row r="161" spans="1:33">
      <c r="A161" t="str">
        <f>IF(ABS(H161)&gt;0,基础信息!$B$1,"")</f>
        <v/>
      </c>
      <c r="S161" s="229">
        <f t="shared" si="28"/>
        <v>0</v>
      </c>
      <c r="Z161" s="230">
        <f t="shared" si="29"/>
        <v>0</v>
      </c>
      <c r="AA161" s="230">
        <f t="shared" si="30"/>
        <v>0</v>
      </c>
      <c r="AB161" s="230">
        <f t="shared" si="31"/>
        <v>0</v>
      </c>
      <c r="AC161" s="230">
        <f t="shared" si="32"/>
        <v>0</v>
      </c>
      <c r="AD161" s="230">
        <f t="shared" si="33"/>
        <v>0</v>
      </c>
      <c r="AE161" s="230">
        <f t="shared" si="34"/>
        <v>0</v>
      </c>
      <c r="AF161" s="230">
        <f t="shared" si="35"/>
        <v>0</v>
      </c>
      <c r="AG161" s="230">
        <f t="shared" si="36"/>
        <v>0</v>
      </c>
    </row>
    <row r="162" spans="1:33">
      <c r="A162" t="str">
        <f>IF(ABS(H162)&gt;0,基础信息!$B$1,"")</f>
        <v/>
      </c>
      <c r="S162" s="229">
        <f t="shared" si="28"/>
        <v>0</v>
      </c>
      <c r="Z162" s="230">
        <f t="shared" si="29"/>
        <v>0</v>
      </c>
      <c r="AA162" s="230">
        <f t="shared" si="30"/>
        <v>0</v>
      </c>
      <c r="AB162" s="230">
        <f t="shared" si="31"/>
        <v>0</v>
      </c>
      <c r="AC162" s="230">
        <f t="shared" si="32"/>
        <v>0</v>
      </c>
      <c r="AD162" s="230">
        <f t="shared" si="33"/>
        <v>0</v>
      </c>
      <c r="AE162" s="230">
        <f t="shared" si="34"/>
        <v>0</v>
      </c>
      <c r="AF162" s="230">
        <f t="shared" si="35"/>
        <v>0</v>
      </c>
      <c r="AG162" s="230">
        <f t="shared" si="36"/>
        <v>0</v>
      </c>
    </row>
    <row r="163" spans="1:33">
      <c r="A163" t="str">
        <f>IF(ABS(H163)&gt;0,基础信息!$B$1,"")</f>
        <v/>
      </c>
      <c r="S163" s="229">
        <f t="shared" si="28"/>
        <v>0</v>
      </c>
      <c r="Z163" s="230">
        <f t="shared" si="29"/>
        <v>0</v>
      </c>
      <c r="AA163" s="230">
        <f t="shared" si="30"/>
        <v>0</v>
      </c>
      <c r="AB163" s="230">
        <f t="shared" si="31"/>
        <v>0</v>
      </c>
      <c r="AC163" s="230">
        <f t="shared" si="32"/>
        <v>0</v>
      </c>
      <c r="AD163" s="230">
        <f t="shared" si="33"/>
        <v>0</v>
      </c>
      <c r="AE163" s="230">
        <f t="shared" si="34"/>
        <v>0</v>
      </c>
      <c r="AF163" s="230">
        <f t="shared" si="35"/>
        <v>0</v>
      </c>
      <c r="AG163" s="230">
        <f t="shared" si="36"/>
        <v>0</v>
      </c>
    </row>
    <row r="164" spans="1:33">
      <c r="A164" t="str">
        <f>IF(ABS(H164)&gt;0,基础信息!$B$1,"")</f>
        <v/>
      </c>
      <c r="S164" s="229">
        <f t="shared" si="28"/>
        <v>0</v>
      </c>
      <c r="Z164" s="230">
        <f t="shared" si="29"/>
        <v>0</v>
      </c>
      <c r="AA164" s="230">
        <f t="shared" si="30"/>
        <v>0</v>
      </c>
      <c r="AB164" s="230">
        <f t="shared" si="31"/>
        <v>0</v>
      </c>
      <c r="AC164" s="230">
        <f t="shared" si="32"/>
        <v>0</v>
      </c>
      <c r="AD164" s="230">
        <f t="shared" si="33"/>
        <v>0</v>
      </c>
      <c r="AE164" s="230">
        <f t="shared" si="34"/>
        <v>0</v>
      </c>
      <c r="AF164" s="230">
        <f t="shared" si="35"/>
        <v>0</v>
      </c>
      <c r="AG164" s="230">
        <f t="shared" si="36"/>
        <v>0</v>
      </c>
    </row>
    <row r="165" spans="1:33">
      <c r="A165" t="str">
        <f>IF(ABS(H165)&gt;0,基础信息!$B$1,"")</f>
        <v/>
      </c>
      <c r="S165" s="229">
        <f t="shared" si="28"/>
        <v>0</v>
      </c>
      <c r="Z165" s="230">
        <f t="shared" si="29"/>
        <v>0</v>
      </c>
      <c r="AA165" s="230">
        <f t="shared" si="30"/>
        <v>0</v>
      </c>
      <c r="AB165" s="230">
        <f t="shared" si="31"/>
        <v>0</v>
      </c>
      <c r="AC165" s="230">
        <f t="shared" si="32"/>
        <v>0</v>
      </c>
      <c r="AD165" s="230">
        <f t="shared" si="33"/>
        <v>0</v>
      </c>
      <c r="AE165" s="230">
        <f t="shared" si="34"/>
        <v>0</v>
      </c>
      <c r="AF165" s="230">
        <f t="shared" si="35"/>
        <v>0</v>
      </c>
      <c r="AG165" s="230">
        <f t="shared" si="36"/>
        <v>0</v>
      </c>
    </row>
    <row r="166" spans="1:33">
      <c r="A166" t="str">
        <f>IF(ABS(H166)&gt;0,基础信息!$B$1,"")</f>
        <v/>
      </c>
      <c r="S166" s="229">
        <f t="shared" si="28"/>
        <v>0</v>
      </c>
      <c r="Z166" s="230">
        <f t="shared" si="29"/>
        <v>0</v>
      </c>
      <c r="AA166" s="230">
        <f t="shared" si="30"/>
        <v>0</v>
      </c>
      <c r="AB166" s="230">
        <f t="shared" si="31"/>
        <v>0</v>
      </c>
      <c r="AC166" s="230">
        <f t="shared" si="32"/>
        <v>0</v>
      </c>
      <c r="AD166" s="230">
        <f t="shared" si="33"/>
        <v>0</v>
      </c>
      <c r="AE166" s="230">
        <f t="shared" si="34"/>
        <v>0</v>
      </c>
      <c r="AF166" s="230">
        <f t="shared" si="35"/>
        <v>0</v>
      </c>
      <c r="AG166" s="230">
        <f t="shared" si="36"/>
        <v>0</v>
      </c>
    </row>
    <row r="167" spans="1:33">
      <c r="A167" t="str">
        <f>IF(ABS(H167)&gt;0,基础信息!$B$1,"")</f>
        <v/>
      </c>
      <c r="S167" s="229">
        <f t="shared" si="28"/>
        <v>0</v>
      </c>
      <c r="Z167" s="230">
        <f t="shared" si="29"/>
        <v>0</v>
      </c>
      <c r="AA167" s="230">
        <f t="shared" si="30"/>
        <v>0</v>
      </c>
      <c r="AB167" s="230">
        <f t="shared" si="31"/>
        <v>0</v>
      </c>
      <c r="AC167" s="230">
        <f t="shared" si="32"/>
        <v>0</v>
      </c>
      <c r="AD167" s="230">
        <f t="shared" si="33"/>
        <v>0</v>
      </c>
      <c r="AE167" s="230">
        <f t="shared" si="34"/>
        <v>0</v>
      </c>
      <c r="AF167" s="230">
        <f t="shared" si="35"/>
        <v>0</v>
      </c>
      <c r="AG167" s="230">
        <f t="shared" si="36"/>
        <v>0</v>
      </c>
    </row>
    <row r="168" spans="1:33">
      <c r="A168" t="str">
        <f>IF(ABS(H168)&gt;0,基础信息!$B$1,"")</f>
        <v/>
      </c>
      <c r="S168" s="229">
        <f t="shared" si="28"/>
        <v>0</v>
      </c>
      <c r="Z168" s="230">
        <f t="shared" si="29"/>
        <v>0</v>
      </c>
      <c r="AA168" s="230">
        <f t="shared" si="30"/>
        <v>0</v>
      </c>
      <c r="AB168" s="230">
        <f t="shared" si="31"/>
        <v>0</v>
      </c>
      <c r="AC168" s="230">
        <f t="shared" si="32"/>
        <v>0</v>
      </c>
      <c r="AD168" s="230">
        <f t="shared" si="33"/>
        <v>0</v>
      </c>
      <c r="AE168" s="230">
        <f t="shared" si="34"/>
        <v>0</v>
      </c>
      <c r="AF168" s="230">
        <f t="shared" si="35"/>
        <v>0</v>
      </c>
      <c r="AG168" s="230">
        <f t="shared" si="36"/>
        <v>0</v>
      </c>
    </row>
    <row r="169" spans="1:33">
      <c r="A169" t="str">
        <f>IF(ABS(H169)&gt;0,基础信息!$B$1,"")</f>
        <v/>
      </c>
      <c r="S169" s="229">
        <f t="shared" si="28"/>
        <v>0</v>
      </c>
      <c r="Z169" s="230">
        <f t="shared" si="29"/>
        <v>0</v>
      </c>
      <c r="AA169" s="230">
        <f t="shared" si="30"/>
        <v>0</v>
      </c>
      <c r="AB169" s="230">
        <f t="shared" si="31"/>
        <v>0</v>
      </c>
      <c r="AC169" s="230">
        <f t="shared" si="32"/>
        <v>0</v>
      </c>
      <c r="AD169" s="230">
        <f t="shared" si="33"/>
        <v>0</v>
      </c>
      <c r="AE169" s="230">
        <f t="shared" si="34"/>
        <v>0</v>
      </c>
      <c r="AF169" s="230">
        <f t="shared" si="35"/>
        <v>0</v>
      </c>
      <c r="AG169" s="230">
        <f t="shared" si="36"/>
        <v>0</v>
      </c>
    </row>
    <row r="170" spans="1:33">
      <c r="A170" t="str">
        <f>IF(ABS(H170)&gt;0,基础信息!$B$1,"")</f>
        <v/>
      </c>
      <c r="S170" s="229">
        <f t="shared" si="28"/>
        <v>0</v>
      </c>
      <c r="Z170" s="230">
        <f t="shared" si="29"/>
        <v>0</v>
      </c>
      <c r="AA170" s="230">
        <f t="shared" si="30"/>
        <v>0</v>
      </c>
      <c r="AB170" s="230">
        <f t="shared" si="31"/>
        <v>0</v>
      </c>
      <c r="AC170" s="230">
        <f t="shared" si="32"/>
        <v>0</v>
      </c>
      <c r="AD170" s="230">
        <f t="shared" si="33"/>
        <v>0</v>
      </c>
      <c r="AE170" s="230">
        <f t="shared" si="34"/>
        <v>0</v>
      </c>
      <c r="AF170" s="230">
        <f t="shared" si="35"/>
        <v>0</v>
      </c>
      <c r="AG170" s="230">
        <f t="shared" si="36"/>
        <v>0</v>
      </c>
    </row>
    <row r="171" spans="1:33">
      <c r="A171" t="str">
        <f>IF(ABS(H171)&gt;0,基础信息!$B$1,"")</f>
        <v/>
      </c>
      <c r="S171" s="229">
        <f t="shared" si="28"/>
        <v>0</v>
      </c>
      <c r="Z171" s="230">
        <f t="shared" si="29"/>
        <v>0</v>
      </c>
      <c r="AA171" s="230">
        <f t="shared" si="30"/>
        <v>0</v>
      </c>
      <c r="AB171" s="230">
        <f t="shared" si="31"/>
        <v>0</v>
      </c>
      <c r="AC171" s="230">
        <f t="shared" si="32"/>
        <v>0</v>
      </c>
      <c r="AD171" s="230">
        <f t="shared" si="33"/>
        <v>0</v>
      </c>
      <c r="AE171" s="230">
        <f t="shared" si="34"/>
        <v>0</v>
      </c>
      <c r="AF171" s="230">
        <f t="shared" si="35"/>
        <v>0</v>
      </c>
      <c r="AG171" s="230">
        <f t="shared" si="36"/>
        <v>0</v>
      </c>
    </row>
    <row r="172" spans="1:33">
      <c r="A172" t="str">
        <f>IF(ABS(H172)&gt;0,基础信息!$B$1,"")</f>
        <v/>
      </c>
      <c r="S172" s="229">
        <f t="shared" si="28"/>
        <v>0</v>
      </c>
      <c r="Z172" s="230">
        <f t="shared" si="29"/>
        <v>0</v>
      </c>
      <c r="AA172" s="230">
        <f t="shared" si="30"/>
        <v>0</v>
      </c>
      <c r="AB172" s="230">
        <f t="shared" si="31"/>
        <v>0</v>
      </c>
      <c r="AC172" s="230">
        <f t="shared" si="32"/>
        <v>0</v>
      </c>
      <c r="AD172" s="230">
        <f t="shared" si="33"/>
        <v>0</v>
      </c>
      <c r="AE172" s="230">
        <f t="shared" si="34"/>
        <v>0</v>
      </c>
      <c r="AF172" s="230">
        <f t="shared" si="35"/>
        <v>0</v>
      </c>
      <c r="AG172" s="230">
        <f t="shared" si="36"/>
        <v>0</v>
      </c>
    </row>
    <row r="173" spans="1:33">
      <c r="A173" t="str">
        <f>IF(ABS(H173)&gt;0,基础信息!$B$1,"")</f>
        <v/>
      </c>
      <c r="S173" s="229">
        <f t="shared" si="28"/>
        <v>0</v>
      </c>
      <c r="Z173" s="230">
        <f t="shared" si="29"/>
        <v>0</v>
      </c>
      <c r="AA173" s="230">
        <f t="shared" si="30"/>
        <v>0</v>
      </c>
      <c r="AB173" s="230">
        <f t="shared" si="31"/>
        <v>0</v>
      </c>
      <c r="AC173" s="230">
        <f t="shared" si="32"/>
        <v>0</v>
      </c>
      <c r="AD173" s="230">
        <f t="shared" si="33"/>
        <v>0</v>
      </c>
      <c r="AE173" s="230">
        <f t="shared" si="34"/>
        <v>0</v>
      </c>
      <c r="AF173" s="230">
        <f t="shared" si="35"/>
        <v>0</v>
      </c>
      <c r="AG173" s="230">
        <f t="shared" si="36"/>
        <v>0</v>
      </c>
    </row>
    <row r="174" spans="1:33">
      <c r="A174" t="str">
        <f>IF(ABS(H174)&gt;0,基础信息!$B$1,"")</f>
        <v/>
      </c>
      <c r="S174" s="229">
        <f t="shared" si="28"/>
        <v>0</v>
      </c>
      <c r="Z174" s="230">
        <f t="shared" si="29"/>
        <v>0</v>
      </c>
      <c r="AA174" s="230">
        <f t="shared" si="30"/>
        <v>0</v>
      </c>
      <c r="AB174" s="230">
        <f t="shared" si="31"/>
        <v>0</v>
      </c>
      <c r="AC174" s="230">
        <f t="shared" si="32"/>
        <v>0</v>
      </c>
      <c r="AD174" s="230">
        <f t="shared" si="33"/>
        <v>0</v>
      </c>
      <c r="AE174" s="230">
        <f t="shared" si="34"/>
        <v>0</v>
      </c>
      <c r="AF174" s="230">
        <f t="shared" si="35"/>
        <v>0</v>
      </c>
      <c r="AG174" s="230">
        <f t="shared" si="36"/>
        <v>0</v>
      </c>
    </row>
    <row r="175" spans="1:33">
      <c r="A175" t="str">
        <f>IF(ABS(H175)&gt;0,基础信息!$B$1,"")</f>
        <v/>
      </c>
      <c r="S175" s="229">
        <f t="shared" si="28"/>
        <v>0</v>
      </c>
      <c r="Z175" s="230">
        <f t="shared" si="29"/>
        <v>0</v>
      </c>
      <c r="AA175" s="230">
        <f t="shared" si="30"/>
        <v>0</v>
      </c>
      <c r="AB175" s="230">
        <f t="shared" si="31"/>
        <v>0</v>
      </c>
      <c r="AC175" s="230">
        <f t="shared" si="32"/>
        <v>0</v>
      </c>
      <c r="AD175" s="230">
        <f t="shared" si="33"/>
        <v>0</v>
      </c>
      <c r="AE175" s="230">
        <f t="shared" si="34"/>
        <v>0</v>
      </c>
      <c r="AF175" s="230">
        <f t="shared" si="35"/>
        <v>0</v>
      </c>
      <c r="AG175" s="230">
        <f t="shared" si="36"/>
        <v>0</v>
      </c>
    </row>
    <row r="176" spans="1:33">
      <c r="A176" t="str">
        <f>IF(ABS(H176)&gt;0,基础信息!$B$1,"")</f>
        <v/>
      </c>
      <c r="S176" s="229">
        <f t="shared" si="28"/>
        <v>0</v>
      </c>
      <c r="Z176" s="230">
        <f t="shared" si="29"/>
        <v>0</v>
      </c>
      <c r="AA176" s="230">
        <f t="shared" si="30"/>
        <v>0</v>
      </c>
      <c r="AB176" s="230">
        <f t="shared" si="31"/>
        <v>0</v>
      </c>
      <c r="AC176" s="230">
        <f t="shared" si="32"/>
        <v>0</v>
      </c>
      <c r="AD176" s="230">
        <f t="shared" si="33"/>
        <v>0</v>
      </c>
      <c r="AE176" s="230">
        <f t="shared" si="34"/>
        <v>0</v>
      </c>
      <c r="AF176" s="230">
        <f t="shared" si="35"/>
        <v>0</v>
      </c>
      <c r="AG176" s="230">
        <f t="shared" si="36"/>
        <v>0</v>
      </c>
    </row>
    <row r="177" spans="1:33">
      <c r="A177" t="str">
        <f>IF(ABS(H177)&gt;0,基础信息!$B$1,"")</f>
        <v/>
      </c>
      <c r="S177" s="229">
        <f t="shared" si="28"/>
        <v>0</v>
      </c>
      <c r="Z177" s="230">
        <f t="shared" si="29"/>
        <v>0</v>
      </c>
      <c r="AA177" s="230">
        <f t="shared" si="30"/>
        <v>0</v>
      </c>
      <c r="AB177" s="230">
        <f t="shared" si="31"/>
        <v>0</v>
      </c>
      <c r="AC177" s="230">
        <f t="shared" si="32"/>
        <v>0</v>
      </c>
      <c r="AD177" s="230">
        <f t="shared" si="33"/>
        <v>0</v>
      </c>
      <c r="AE177" s="230">
        <f t="shared" si="34"/>
        <v>0</v>
      </c>
      <c r="AF177" s="230">
        <f t="shared" si="35"/>
        <v>0</v>
      </c>
      <c r="AG177" s="230">
        <f t="shared" si="36"/>
        <v>0</v>
      </c>
    </row>
    <row r="178" spans="1:33">
      <c r="A178" t="str">
        <f>IF(ABS(H178)&gt;0,基础信息!$B$1,"")</f>
        <v/>
      </c>
      <c r="S178" s="229">
        <f t="shared" si="28"/>
        <v>0</v>
      </c>
      <c r="Z178" s="230">
        <f t="shared" si="29"/>
        <v>0</v>
      </c>
      <c r="AA178" s="230">
        <f t="shared" si="30"/>
        <v>0</v>
      </c>
      <c r="AB178" s="230">
        <f t="shared" si="31"/>
        <v>0</v>
      </c>
      <c r="AC178" s="230">
        <f t="shared" si="32"/>
        <v>0</v>
      </c>
      <c r="AD178" s="230">
        <f t="shared" si="33"/>
        <v>0</v>
      </c>
      <c r="AE178" s="230">
        <f t="shared" si="34"/>
        <v>0</v>
      </c>
      <c r="AF178" s="230">
        <f t="shared" si="35"/>
        <v>0</v>
      </c>
      <c r="AG178" s="230">
        <f t="shared" si="36"/>
        <v>0</v>
      </c>
    </row>
    <row r="179" spans="1:33">
      <c r="A179" t="str">
        <f>IF(ABS(H179)&gt;0,基础信息!$B$1,"")</f>
        <v/>
      </c>
      <c r="S179" s="229">
        <f t="shared" si="28"/>
        <v>0</v>
      </c>
      <c r="Z179" s="230">
        <f t="shared" si="29"/>
        <v>0</v>
      </c>
      <c r="AA179" s="230">
        <f t="shared" si="30"/>
        <v>0</v>
      </c>
      <c r="AB179" s="230">
        <f t="shared" si="31"/>
        <v>0</v>
      </c>
      <c r="AC179" s="230">
        <f t="shared" si="32"/>
        <v>0</v>
      </c>
      <c r="AD179" s="230">
        <f t="shared" si="33"/>
        <v>0</v>
      </c>
      <c r="AE179" s="230">
        <f t="shared" si="34"/>
        <v>0</v>
      </c>
      <c r="AF179" s="230">
        <f t="shared" si="35"/>
        <v>0</v>
      </c>
      <c r="AG179" s="230">
        <f t="shared" si="36"/>
        <v>0</v>
      </c>
    </row>
    <row r="180" spans="1:33">
      <c r="A180" t="str">
        <f>IF(ABS(H180)&gt;0,基础信息!$B$1,"")</f>
        <v/>
      </c>
      <c r="S180" s="229">
        <f t="shared" si="28"/>
        <v>0</v>
      </c>
      <c r="Z180" s="230">
        <f t="shared" si="29"/>
        <v>0</v>
      </c>
      <c r="AA180" s="230">
        <f t="shared" si="30"/>
        <v>0</v>
      </c>
      <c r="AB180" s="230">
        <f t="shared" si="31"/>
        <v>0</v>
      </c>
      <c r="AC180" s="230">
        <f t="shared" si="32"/>
        <v>0</v>
      </c>
      <c r="AD180" s="230">
        <f t="shared" si="33"/>
        <v>0</v>
      </c>
      <c r="AE180" s="230">
        <f t="shared" si="34"/>
        <v>0</v>
      </c>
      <c r="AF180" s="230">
        <f t="shared" si="35"/>
        <v>0</v>
      </c>
      <c r="AG180" s="230">
        <f t="shared" si="36"/>
        <v>0</v>
      </c>
    </row>
    <row r="181" spans="1:33">
      <c r="A181" t="str">
        <f>IF(ABS(H181)&gt;0,基础信息!$B$1,"")</f>
        <v/>
      </c>
      <c r="S181" s="229">
        <f t="shared" si="28"/>
        <v>0</v>
      </c>
      <c r="Z181" s="230">
        <f t="shared" si="29"/>
        <v>0</v>
      </c>
      <c r="AA181" s="230">
        <f t="shared" si="30"/>
        <v>0</v>
      </c>
      <c r="AB181" s="230">
        <f t="shared" si="31"/>
        <v>0</v>
      </c>
      <c r="AC181" s="230">
        <f t="shared" si="32"/>
        <v>0</v>
      </c>
      <c r="AD181" s="230">
        <f t="shared" si="33"/>
        <v>0</v>
      </c>
      <c r="AE181" s="230">
        <f t="shared" si="34"/>
        <v>0</v>
      </c>
      <c r="AF181" s="230">
        <f t="shared" si="35"/>
        <v>0</v>
      </c>
      <c r="AG181" s="230">
        <f t="shared" si="36"/>
        <v>0</v>
      </c>
    </row>
    <row r="182" spans="1:33">
      <c r="A182" t="str">
        <f>IF(ABS(H182)&gt;0,基础信息!$B$1,"")</f>
        <v/>
      </c>
      <c r="S182" s="229">
        <f t="shared" si="28"/>
        <v>0</v>
      </c>
      <c r="Z182" s="230">
        <f t="shared" si="29"/>
        <v>0</v>
      </c>
      <c r="AA182" s="230">
        <f t="shared" si="30"/>
        <v>0</v>
      </c>
      <c r="AB182" s="230">
        <f t="shared" si="31"/>
        <v>0</v>
      </c>
      <c r="AC182" s="230">
        <f t="shared" si="32"/>
        <v>0</v>
      </c>
      <c r="AD182" s="230">
        <f t="shared" si="33"/>
        <v>0</v>
      </c>
      <c r="AE182" s="230">
        <f t="shared" si="34"/>
        <v>0</v>
      </c>
      <c r="AF182" s="230">
        <f t="shared" si="35"/>
        <v>0</v>
      </c>
      <c r="AG182" s="230">
        <f t="shared" si="36"/>
        <v>0</v>
      </c>
    </row>
    <row r="183" spans="1:33">
      <c r="A183" t="str">
        <f>IF(ABS(H183)&gt;0,基础信息!$B$1,"")</f>
        <v/>
      </c>
      <c r="S183" s="229">
        <f t="shared" si="28"/>
        <v>0</v>
      </c>
      <c r="Z183" s="230">
        <f t="shared" si="29"/>
        <v>0</v>
      </c>
      <c r="AA183" s="230">
        <f t="shared" si="30"/>
        <v>0</v>
      </c>
      <c r="AB183" s="230">
        <f t="shared" si="31"/>
        <v>0</v>
      </c>
      <c r="AC183" s="230">
        <f t="shared" si="32"/>
        <v>0</v>
      </c>
      <c r="AD183" s="230">
        <f t="shared" si="33"/>
        <v>0</v>
      </c>
      <c r="AE183" s="230">
        <f t="shared" si="34"/>
        <v>0</v>
      </c>
      <c r="AF183" s="230">
        <f t="shared" si="35"/>
        <v>0</v>
      </c>
      <c r="AG183" s="230">
        <f t="shared" si="36"/>
        <v>0</v>
      </c>
    </row>
    <row r="184" spans="1:33">
      <c r="A184" t="str">
        <f>IF(ABS(H184)&gt;0,基础信息!$B$1,"")</f>
        <v/>
      </c>
      <c r="S184" s="229">
        <f t="shared" si="28"/>
        <v>0</v>
      </c>
      <c r="Z184" s="230">
        <f t="shared" si="29"/>
        <v>0</v>
      </c>
      <c r="AA184" s="230">
        <f t="shared" si="30"/>
        <v>0</v>
      </c>
      <c r="AB184" s="230">
        <f t="shared" si="31"/>
        <v>0</v>
      </c>
      <c r="AC184" s="230">
        <f t="shared" si="32"/>
        <v>0</v>
      </c>
      <c r="AD184" s="230">
        <f t="shared" si="33"/>
        <v>0</v>
      </c>
      <c r="AE184" s="230">
        <f t="shared" si="34"/>
        <v>0</v>
      </c>
      <c r="AF184" s="230">
        <f t="shared" si="35"/>
        <v>0</v>
      </c>
      <c r="AG184" s="230">
        <f t="shared" si="36"/>
        <v>0</v>
      </c>
    </row>
    <row r="185" spans="1:33">
      <c r="A185" t="str">
        <f>IF(ABS(H185)&gt;0,基础信息!$B$1,"")</f>
        <v/>
      </c>
      <c r="S185" s="229">
        <f t="shared" si="28"/>
        <v>0</v>
      </c>
      <c r="Z185" s="230">
        <f t="shared" si="29"/>
        <v>0</v>
      </c>
      <c r="AA185" s="230">
        <f t="shared" si="30"/>
        <v>0</v>
      </c>
      <c r="AB185" s="230">
        <f t="shared" si="31"/>
        <v>0</v>
      </c>
      <c r="AC185" s="230">
        <f t="shared" si="32"/>
        <v>0</v>
      </c>
      <c r="AD185" s="230">
        <f t="shared" si="33"/>
        <v>0</v>
      </c>
      <c r="AE185" s="230">
        <f t="shared" si="34"/>
        <v>0</v>
      </c>
      <c r="AF185" s="230">
        <f t="shared" si="35"/>
        <v>0</v>
      </c>
      <c r="AG185" s="230">
        <f t="shared" si="36"/>
        <v>0</v>
      </c>
    </row>
    <row r="186" spans="1:33">
      <c r="A186" t="str">
        <f>IF(ABS(H186)&gt;0,基础信息!$B$1,"")</f>
        <v/>
      </c>
      <c r="S186" s="229">
        <f t="shared" si="28"/>
        <v>0</v>
      </c>
      <c r="Z186" s="230">
        <f t="shared" si="29"/>
        <v>0</v>
      </c>
      <c r="AA186" s="230">
        <f t="shared" si="30"/>
        <v>0</v>
      </c>
      <c r="AB186" s="230">
        <f t="shared" si="31"/>
        <v>0</v>
      </c>
      <c r="AC186" s="230">
        <f t="shared" si="32"/>
        <v>0</v>
      </c>
      <c r="AD186" s="230">
        <f t="shared" si="33"/>
        <v>0</v>
      </c>
      <c r="AE186" s="230">
        <f t="shared" si="34"/>
        <v>0</v>
      </c>
      <c r="AF186" s="230">
        <f t="shared" si="35"/>
        <v>0</v>
      </c>
      <c r="AG186" s="230">
        <f t="shared" si="36"/>
        <v>0</v>
      </c>
    </row>
    <row r="187" spans="1:33">
      <c r="A187" t="str">
        <f>IF(ABS(H187)&gt;0,基础信息!$B$1,"")</f>
        <v/>
      </c>
      <c r="S187" s="229">
        <f t="shared" si="28"/>
        <v>0</v>
      </c>
      <c r="Z187" s="230">
        <f t="shared" si="29"/>
        <v>0</v>
      </c>
      <c r="AA187" s="230">
        <f t="shared" si="30"/>
        <v>0</v>
      </c>
      <c r="AB187" s="230">
        <f t="shared" si="31"/>
        <v>0</v>
      </c>
      <c r="AC187" s="230">
        <f t="shared" si="32"/>
        <v>0</v>
      </c>
      <c r="AD187" s="230">
        <f t="shared" si="33"/>
        <v>0</v>
      </c>
      <c r="AE187" s="230">
        <f t="shared" si="34"/>
        <v>0</v>
      </c>
      <c r="AF187" s="230">
        <f t="shared" si="35"/>
        <v>0</v>
      </c>
      <c r="AG187" s="230">
        <f t="shared" si="36"/>
        <v>0</v>
      </c>
    </row>
    <row r="188" spans="1:33">
      <c r="A188" t="str">
        <f>IF(ABS(H188)&gt;0,基础信息!$B$1,"")</f>
        <v/>
      </c>
      <c r="S188" s="229">
        <f t="shared" si="28"/>
        <v>0</v>
      </c>
      <c r="Z188" s="230">
        <f t="shared" si="29"/>
        <v>0</v>
      </c>
      <c r="AA188" s="230">
        <f t="shared" si="30"/>
        <v>0</v>
      </c>
      <c r="AB188" s="230">
        <f t="shared" si="31"/>
        <v>0</v>
      </c>
      <c r="AC188" s="230">
        <f t="shared" si="32"/>
        <v>0</v>
      </c>
      <c r="AD188" s="230">
        <f t="shared" si="33"/>
        <v>0</v>
      </c>
      <c r="AE188" s="230">
        <f t="shared" si="34"/>
        <v>0</v>
      </c>
      <c r="AF188" s="230">
        <f t="shared" si="35"/>
        <v>0</v>
      </c>
      <c r="AG188" s="230">
        <f t="shared" si="36"/>
        <v>0</v>
      </c>
    </row>
    <row r="189" spans="1:33">
      <c r="A189" t="str">
        <f>IF(ABS(H189)&gt;0,基础信息!$B$1,"")</f>
        <v/>
      </c>
      <c r="S189" s="229">
        <f t="shared" si="28"/>
        <v>0</v>
      </c>
      <c r="Z189" s="230">
        <f t="shared" si="29"/>
        <v>0</v>
      </c>
      <c r="AA189" s="230">
        <f t="shared" si="30"/>
        <v>0</v>
      </c>
      <c r="AB189" s="230">
        <f t="shared" si="31"/>
        <v>0</v>
      </c>
      <c r="AC189" s="230">
        <f t="shared" si="32"/>
        <v>0</v>
      </c>
      <c r="AD189" s="230">
        <f t="shared" si="33"/>
        <v>0</v>
      </c>
      <c r="AE189" s="230">
        <f t="shared" si="34"/>
        <v>0</v>
      </c>
      <c r="AF189" s="230">
        <f t="shared" si="35"/>
        <v>0</v>
      </c>
      <c r="AG189" s="230">
        <f t="shared" si="36"/>
        <v>0</v>
      </c>
    </row>
    <row r="190" spans="1:33">
      <c r="A190" t="str">
        <f>IF(ABS(H190)&gt;0,基础信息!$B$1,"")</f>
        <v/>
      </c>
      <c r="S190" s="229">
        <f t="shared" si="28"/>
        <v>0</v>
      </c>
      <c r="Z190" s="230">
        <f t="shared" si="29"/>
        <v>0</v>
      </c>
      <c r="AA190" s="230">
        <f t="shared" si="30"/>
        <v>0</v>
      </c>
      <c r="AB190" s="230">
        <f t="shared" si="31"/>
        <v>0</v>
      </c>
      <c r="AC190" s="230">
        <f t="shared" si="32"/>
        <v>0</v>
      </c>
      <c r="AD190" s="230">
        <f t="shared" si="33"/>
        <v>0</v>
      </c>
      <c r="AE190" s="230">
        <f t="shared" si="34"/>
        <v>0</v>
      </c>
      <c r="AF190" s="230">
        <f t="shared" si="35"/>
        <v>0</v>
      </c>
      <c r="AG190" s="230">
        <f t="shared" si="36"/>
        <v>0</v>
      </c>
    </row>
    <row r="191" spans="1:33">
      <c r="A191" t="str">
        <f>IF(ABS(H191)&gt;0,基础信息!$B$1,"")</f>
        <v/>
      </c>
      <c r="S191" s="229">
        <f t="shared" si="28"/>
        <v>0</v>
      </c>
      <c r="Z191" s="230">
        <f t="shared" si="29"/>
        <v>0</v>
      </c>
      <c r="AA191" s="230">
        <f t="shared" si="30"/>
        <v>0</v>
      </c>
      <c r="AB191" s="230">
        <f t="shared" si="31"/>
        <v>0</v>
      </c>
      <c r="AC191" s="230">
        <f t="shared" si="32"/>
        <v>0</v>
      </c>
      <c r="AD191" s="230">
        <f t="shared" si="33"/>
        <v>0</v>
      </c>
      <c r="AE191" s="230">
        <f t="shared" si="34"/>
        <v>0</v>
      </c>
      <c r="AF191" s="230">
        <f t="shared" si="35"/>
        <v>0</v>
      </c>
      <c r="AG191" s="230">
        <f t="shared" si="36"/>
        <v>0</v>
      </c>
    </row>
    <row r="192" spans="1:33">
      <c r="A192" t="str">
        <f>IF(ABS(H192)&gt;0,基础信息!$B$1,"")</f>
        <v/>
      </c>
      <c r="S192" s="229">
        <f t="shared" si="28"/>
        <v>0</v>
      </c>
      <c r="Z192" s="230">
        <f t="shared" si="29"/>
        <v>0</v>
      </c>
      <c r="AA192" s="230">
        <f t="shared" si="30"/>
        <v>0</v>
      </c>
      <c r="AB192" s="230">
        <f t="shared" si="31"/>
        <v>0</v>
      </c>
      <c r="AC192" s="230">
        <f t="shared" si="32"/>
        <v>0</v>
      </c>
      <c r="AD192" s="230">
        <f t="shared" si="33"/>
        <v>0</v>
      </c>
      <c r="AE192" s="230">
        <f t="shared" si="34"/>
        <v>0</v>
      </c>
      <c r="AF192" s="230">
        <f t="shared" si="35"/>
        <v>0</v>
      </c>
      <c r="AG192" s="230">
        <f t="shared" si="36"/>
        <v>0</v>
      </c>
    </row>
    <row r="193" spans="1:33">
      <c r="A193" t="str">
        <f>IF(ABS(H193)&gt;0,基础信息!$B$1,"")</f>
        <v/>
      </c>
      <c r="S193" s="229">
        <f t="shared" si="28"/>
        <v>0</v>
      </c>
      <c r="Z193" s="230">
        <f t="shared" si="29"/>
        <v>0</v>
      </c>
      <c r="AA193" s="230">
        <f t="shared" si="30"/>
        <v>0</v>
      </c>
      <c r="AB193" s="230">
        <f t="shared" si="31"/>
        <v>0</v>
      </c>
      <c r="AC193" s="230">
        <f t="shared" si="32"/>
        <v>0</v>
      </c>
      <c r="AD193" s="230">
        <f t="shared" si="33"/>
        <v>0</v>
      </c>
      <c r="AE193" s="230">
        <f t="shared" si="34"/>
        <v>0</v>
      </c>
      <c r="AF193" s="230">
        <f t="shared" si="35"/>
        <v>0</v>
      </c>
      <c r="AG193" s="230">
        <f t="shared" si="36"/>
        <v>0</v>
      </c>
    </row>
    <row r="194" spans="1:33">
      <c r="A194" t="str">
        <f>IF(ABS(H194)&gt;0,基础信息!$B$1,"")</f>
        <v/>
      </c>
      <c r="S194" s="229">
        <f t="shared" si="28"/>
        <v>0</v>
      </c>
      <c r="Z194" s="230">
        <f t="shared" si="29"/>
        <v>0</v>
      </c>
      <c r="AA194" s="230">
        <f t="shared" si="30"/>
        <v>0</v>
      </c>
      <c r="AB194" s="230">
        <f t="shared" si="31"/>
        <v>0</v>
      </c>
      <c r="AC194" s="230">
        <f t="shared" si="32"/>
        <v>0</v>
      </c>
      <c r="AD194" s="230">
        <f t="shared" si="33"/>
        <v>0</v>
      </c>
      <c r="AE194" s="230">
        <f t="shared" si="34"/>
        <v>0</v>
      </c>
      <c r="AF194" s="230">
        <f t="shared" si="35"/>
        <v>0</v>
      </c>
      <c r="AG194" s="230">
        <f t="shared" si="36"/>
        <v>0</v>
      </c>
    </row>
    <row r="195" spans="1:33">
      <c r="A195" t="str">
        <f>IF(ABS(H195)&gt;0,基础信息!$B$1,"")</f>
        <v/>
      </c>
      <c r="S195" s="229">
        <f t="shared" si="28"/>
        <v>0</v>
      </c>
      <c r="Z195" s="230">
        <f t="shared" si="29"/>
        <v>0</v>
      </c>
      <c r="AA195" s="230">
        <f t="shared" si="30"/>
        <v>0</v>
      </c>
      <c r="AB195" s="230">
        <f t="shared" si="31"/>
        <v>0</v>
      </c>
      <c r="AC195" s="230">
        <f t="shared" si="32"/>
        <v>0</v>
      </c>
      <c r="AD195" s="230">
        <f t="shared" si="33"/>
        <v>0</v>
      </c>
      <c r="AE195" s="230">
        <f t="shared" si="34"/>
        <v>0</v>
      </c>
      <c r="AF195" s="230">
        <f t="shared" si="35"/>
        <v>0</v>
      </c>
      <c r="AG195" s="230">
        <f t="shared" si="36"/>
        <v>0</v>
      </c>
    </row>
    <row r="196" spans="1:33">
      <c r="A196" t="str">
        <f>IF(ABS(H196)&gt;0,基础信息!$B$1,"")</f>
        <v/>
      </c>
      <c r="S196" s="229">
        <f t="shared" si="28"/>
        <v>0</v>
      </c>
      <c r="Z196" s="230">
        <f t="shared" si="29"/>
        <v>0</v>
      </c>
      <c r="AA196" s="230">
        <f t="shared" si="30"/>
        <v>0</v>
      </c>
      <c r="AB196" s="230">
        <f t="shared" si="31"/>
        <v>0</v>
      </c>
      <c r="AC196" s="230">
        <f t="shared" si="32"/>
        <v>0</v>
      </c>
      <c r="AD196" s="230">
        <f t="shared" si="33"/>
        <v>0</v>
      </c>
      <c r="AE196" s="230">
        <f t="shared" si="34"/>
        <v>0</v>
      </c>
      <c r="AF196" s="230">
        <f t="shared" si="35"/>
        <v>0</v>
      </c>
      <c r="AG196" s="230">
        <f t="shared" si="36"/>
        <v>0</v>
      </c>
    </row>
    <row r="197" spans="1:33">
      <c r="A197" t="str">
        <f>IF(ABS(H197)&gt;0,基础信息!$B$1,"")</f>
        <v/>
      </c>
      <c r="S197" s="229">
        <f t="shared" si="28"/>
        <v>0</v>
      </c>
      <c r="Z197" s="230">
        <f t="shared" si="29"/>
        <v>0</v>
      </c>
      <c r="AA197" s="230">
        <f t="shared" si="30"/>
        <v>0</v>
      </c>
      <c r="AB197" s="230">
        <f t="shared" si="31"/>
        <v>0</v>
      </c>
      <c r="AC197" s="230">
        <f t="shared" si="32"/>
        <v>0</v>
      </c>
      <c r="AD197" s="230">
        <f t="shared" si="33"/>
        <v>0</v>
      </c>
      <c r="AE197" s="230">
        <f t="shared" si="34"/>
        <v>0</v>
      </c>
      <c r="AF197" s="230">
        <f t="shared" si="35"/>
        <v>0</v>
      </c>
      <c r="AG197" s="230">
        <f t="shared" si="36"/>
        <v>0</v>
      </c>
    </row>
    <row r="198" spans="1:33">
      <c r="A198" t="str">
        <f>IF(ABS(H198)&gt;0,基础信息!$B$1,"")</f>
        <v/>
      </c>
      <c r="S198" s="229">
        <f t="shared" si="28"/>
        <v>0</v>
      </c>
      <c r="Z198" s="230">
        <f t="shared" si="29"/>
        <v>0</v>
      </c>
      <c r="AA198" s="230">
        <f t="shared" si="30"/>
        <v>0</v>
      </c>
      <c r="AB198" s="230">
        <f t="shared" si="31"/>
        <v>0</v>
      </c>
      <c r="AC198" s="230">
        <f t="shared" si="32"/>
        <v>0</v>
      </c>
      <c r="AD198" s="230">
        <f t="shared" si="33"/>
        <v>0</v>
      </c>
      <c r="AE198" s="230">
        <f t="shared" si="34"/>
        <v>0</v>
      </c>
      <c r="AF198" s="230">
        <f t="shared" si="35"/>
        <v>0</v>
      </c>
      <c r="AG198" s="230">
        <f t="shared" si="36"/>
        <v>0</v>
      </c>
    </row>
    <row r="199" spans="1:33">
      <c r="A199" t="str">
        <f>IF(ABS(H199)&gt;0,基础信息!$B$1,"")</f>
        <v/>
      </c>
      <c r="S199" s="229">
        <f t="shared" si="28"/>
        <v>0</v>
      </c>
      <c r="Z199" s="230">
        <f t="shared" si="29"/>
        <v>0</v>
      </c>
      <c r="AA199" s="230">
        <f t="shared" si="30"/>
        <v>0</v>
      </c>
      <c r="AB199" s="230">
        <f t="shared" si="31"/>
        <v>0</v>
      </c>
      <c r="AC199" s="230">
        <f t="shared" si="32"/>
        <v>0</v>
      </c>
      <c r="AD199" s="230">
        <f t="shared" si="33"/>
        <v>0</v>
      </c>
      <c r="AE199" s="230">
        <f t="shared" si="34"/>
        <v>0</v>
      </c>
      <c r="AF199" s="230">
        <f t="shared" si="35"/>
        <v>0</v>
      </c>
      <c r="AG199" s="230">
        <f t="shared" si="36"/>
        <v>0</v>
      </c>
    </row>
    <row r="200" spans="1:33">
      <c r="A200" t="str">
        <f>IF(ABS(H200)&gt;0,基础信息!$B$1,"")</f>
        <v/>
      </c>
      <c r="S200" s="229">
        <f t="shared" si="28"/>
        <v>0</v>
      </c>
      <c r="Z200" s="230">
        <f t="shared" si="29"/>
        <v>0</v>
      </c>
      <c r="AA200" s="230">
        <f t="shared" si="30"/>
        <v>0</v>
      </c>
      <c r="AB200" s="230">
        <f t="shared" si="31"/>
        <v>0</v>
      </c>
      <c r="AC200" s="230">
        <f t="shared" si="32"/>
        <v>0</v>
      </c>
      <c r="AD200" s="230">
        <f t="shared" si="33"/>
        <v>0</v>
      </c>
      <c r="AE200" s="230">
        <f t="shared" si="34"/>
        <v>0</v>
      </c>
      <c r="AF200" s="230">
        <f t="shared" si="35"/>
        <v>0</v>
      </c>
      <c r="AG200" s="230">
        <f t="shared" si="36"/>
        <v>0</v>
      </c>
    </row>
    <row r="201" spans="1:33">
      <c r="A201" t="str">
        <f>IF(ABS(H201)&gt;0,基础信息!$B$1,"")</f>
        <v/>
      </c>
      <c r="S201" s="229">
        <f t="shared" si="28"/>
        <v>0</v>
      </c>
      <c r="Z201" s="230">
        <f t="shared" si="29"/>
        <v>0</v>
      </c>
      <c r="AA201" s="230">
        <f t="shared" si="30"/>
        <v>0</v>
      </c>
      <c r="AB201" s="230">
        <f t="shared" si="31"/>
        <v>0</v>
      </c>
      <c r="AC201" s="230">
        <f t="shared" si="32"/>
        <v>0</v>
      </c>
      <c r="AD201" s="230">
        <f t="shared" si="33"/>
        <v>0</v>
      </c>
      <c r="AE201" s="230">
        <f t="shared" si="34"/>
        <v>0</v>
      </c>
      <c r="AF201" s="230">
        <f t="shared" si="35"/>
        <v>0</v>
      </c>
      <c r="AG201" s="230">
        <f t="shared" si="36"/>
        <v>0</v>
      </c>
    </row>
    <row r="202" spans="1:33">
      <c r="A202" t="str">
        <f>IF(ABS(H202)&gt;0,基础信息!$B$1,"")</f>
        <v/>
      </c>
      <c r="S202" s="229">
        <f t="shared" si="28"/>
        <v>0</v>
      </c>
      <c r="Z202" s="230">
        <f t="shared" si="29"/>
        <v>0</v>
      </c>
      <c r="AA202" s="230">
        <f t="shared" si="30"/>
        <v>0</v>
      </c>
      <c r="AB202" s="230">
        <f t="shared" si="31"/>
        <v>0</v>
      </c>
      <c r="AC202" s="230">
        <f t="shared" si="32"/>
        <v>0</v>
      </c>
      <c r="AD202" s="230">
        <f t="shared" si="33"/>
        <v>0</v>
      </c>
      <c r="AE202" s="230">
        <f t="shared" si="34"/>
        <v>0</v>
      </c>
      <c r="AF202" s="230">
        <f t="shared" si="35"/>
        <v>0</v>
      </c>
      <c r="AG202" s="230">
        <f t="shared" si="36"/>
        <v>0</v>
      </c>
    </row>
    <row r="203" spans="1:33">
      <c r="A203" t="str">
        <f>IF(ABS(H203)&gt;0,基础信息!$B$1,"")</f>
        <v/>
      </c>
      <c r="S203" s="229">
        <f t="shared" si="28"/>
        <v>0</v>
      </c>
      <c r="Z203" s="230">
        <f t="shared" si="29"/>
        <v>0</v>
      </c>
      <c r="AA203" s="230">
        <f t="shared" si="30"/>
        <v>0</v>
      </c>
      <c r="AB203" s="230">
        <f t="shared" si="31"/>
        <v>0</v>
      </c>
      <c r="AC203" s="230">
        <f t="shared" si="32"/>
        <v>0</v>
      </c>
      <c r="AD203" s="230">
        <f t="shared" si="33"/>
        <v>0</v>
      </c>
      <c r="AE203" s="230">
        <f t="shared" si="34"/>
        <v>0</v>
      </c>
      <c r="AF203" s="230">
        <f t="shared" si="35"/>
        <v>0</v>
      </c>
      <c r="AG203" s="230">
        <f t="shared" si="36"/>
        <v>0</v>
      </c>
    </row>
    <row r="204" spans="1:33">
      <c r="A204" t="str">
        <f>IF(ABS(H204)&gt;0,基础信息!$B$1,"")</f>
        <v/>
      </c>
      <c r="S204" s="229">
        <f t="shared" si="28"/>
        <v>0</v>
      </c>
      <c r="Z204" s="230">
        <f t="shared" si="29"/>
        <v>0</v>
      </c>
      <c r="AA204" s="230">
        <f t="shared" si="30"/>
        <v>0</v>
      </c>
      <c r="AB204" s="230">
        <f t="shared" si="31"/>
        <v>0</v>
      </c>
      <c r="AC204" s="230">
        <f t="shared" si="32"/>
        <v>0</v>
      </c>
      <c r="AD204" s="230">
        <f t="shared" si="33"/>
        <v>0</v>
      </c>
      <c r="AE204" s="230">
        <f t="shared" si="34"/>
        <v>0</v>
      </c>
      <c r="AF204" s="230">
        <f t="shared" si="35"/>
        <v>0</v>
      </c>
      <c r="AG204" s="230">
        <f t="shared" si="36"/>
        <v>0</v>
      </c>
    </row>
    <row r="205" spans="1:33">
      <c r="A205" t="str">
        <f>IF(ABS(H205)&gt;0,基础信息!$B$1,"")</f>
        <v/>
      </c>
      <c r="S205" s="229">
        <f t="shared" si="28"/>
        <v>0</v>
      </c>
      <c r="Z205" s="230">
        <f t="shared" si="29"/>
        <v>0</v>
      </c>
      <c r="AA205" s="230">
        <f t="shared" si="30"/>
        <v>0</v>
      </c>
      <c r="AB205" s="230">
        <f t="shared" si="31"/>
        <v>0</v>
      </c>
      <c r="AC205" s="230">
        <f t="shared" si="32"/>
        <v>0</v>
      </c>
      <c r="AD205" s="230">
        <f t="shared" si="33"/>
        <v>0</v>
      </c>
      <c r="AE205" s="230">
        <f t="shared" si="34"/>
        <v>0</v>
      </c>
      <c r="AF205" s="230">
        <f t="shared" si="35"/>
        <v>0</v>
      </c>
      <c r="AG205" s="230">
        <f t="shared" si="36"/>
        <v>0</v>
      </c>
    </row>
    <row r="206" spans="1:33">
      <c r="A206" t="str">
        <f>IF(ABS(H206)&gt;0,基础信息!$B$1,"")</f>
        <v/>
      </c>
      <c r="S206" s="229">
        <f t="shared" si="28"/>
        <v>0</v>
      </c>
      <c r="Z206" s="230">
        <f t="shared" si="29"/>
        <v>0</v>
      </c>
      <c r="AA206" s="230">
        <f t="shared" si="30"/>
        <v>0</v>
      </c>
      <c r="AB206" s="230">
        <f t="shared" si="31"/>
        <v>0</v>
      </c>
      <c r="AC206" s="230">
        <f t="shared" si="32"/>
        <v>0</v>
      </c>
      <c r="AD206" s="230">
        <f t="shared" si="33"/>
        <v>0</v>
      </c>
      <c r="AE206" s="230">
        <f t="shared" si="34"/>
        <v>0</v>
      </c>
      <c r="AF206" s="230">
        <f t="shared" si="35"/>
        <v>0</v>
      </c>
      <c r="AG206" s="230">
        <f t="shared" si="36"/>
        <v>0</v>
      </c>
    </row>
    <row r="207" spans="1:33">
      <c r="A207" t="str">
        <f>IF(ABS(H207)&gt;0,基础信息!$B$1,"")</f>
        <v/>
      </c>
      <c r="S207" s="229">
        <f t="shared" si="28"/>
        <v>0</v>
      </c>
      <c r="Z207" s="230">
        <f t="shared" si="29"/>
        <v>0</v>
      </c>
      <c r="AA207" s="230">
        <f t="shared" si="30"/>
        <v>0</v>
      </c>
      <c r="AB207" s="230">
        <f t="shared" si="31"/>
        <v>0</v>
      </c>
      <c r="AC207" s="230">
        <f t="shared" si="32"/>
        <v>0</v>
      </c>
      <c r="AD207" s="230">
        <f t="shared" si="33"/>
        <v>0</v>
      </c>
      <c r="AE207" s="230">
        <f t="shared" si="34"/>
        <v>0</v>
      </c>
      <c r="AF207" s="230">
        <f t="shared" si="35"/>
        <v>0</v>
      </c>
      <c r="AG207" s="230">
        <f t="shared" si="36"/>
        <v>0</v>
      </c>
    </row>
    <row r="208" spans="1:33">
      <c r="A208" t="str">
        <f>IF(ABS(H208)&gt;0,基础信息!$B$1,"")</f>
        <v/>
      </c>
      <c r="S208" s="229">
        <f t="shared" si="28"/>
        <v>0</v>
      </c>
      <c r="Z208" s="230">
        <f t="shared" si="29"/>
        <v>0</v>
      </c>
      <c r="AA208" s="230">
        <f t="shared" si="30"/>
        <v>0</v>
      </c>
      <c r="AB208" s="230">
        <f t="shared" si="31"/>
        <v>0</v>
      </c>
      <c r="AC208" s="230">
        <f t="shared" si="32"/>
        <v>0</v>
      </c>
      <c r="AD208" s="230">
        <f t="shared" si="33"/>
        <v>0</v>
      </c>
      <c r="AE208" s="230">
        <f t="shared" si="34"/>
        <v>0</v>
      </c>
      <c r="AF208" s="230">
        <f t="shared" si="35"/>
        <v>0</v>
      </c>
      <c r="AG208" s="230">
        <f t="shared" si="36"/>
        <v>0</v>
      </c>
    </row>
    <row r="209" spans="1:33">
      <c r="A209" t="str">
        <f>IF(ABS(H209)&gt;0,基础信息!$B$1,"")</f>
        <v/>
      </c>
      <c r="S209" s="229">
        <f t="shared" si="28"/>
        <v>0</v>
      </c>
      <c r="Z209" s="230">
        <f t="shared" si="29"/>
        <v>0</v>
      </c>
      <c r="AA209" s="230">
        <f t="shared" si="30"/>
        <v>0</v>
      </c>
      <c r="AB209" s="230">
        <f t="shared" si="31"/>
        <v>0</v>
      </c>
      <c r="AC209" s="230">
        <f t="shared" si="32"/>
        <v>0</v>
      </c>
      <c r="AD209" s="230">
        <f t="shared" si="33"/>
        <v>0</v>
      </c>
      <c r="AE209" s="230">
        <f t="shared" si="34"/>
        <v>0</v>
      </c>
      <c r="AF209" s="230">
        <f t="shared" si="35"/>
        <v>0</v>
      </c>
      <c r="AG209" s="230">
        <f t="shared" si="36"/>
        <v>0</v>
      </c>
    </row>
    <row r="210" spans="1:33">
      <c r="A210" t="str">
        <f>IF(ABS(H210)&gt;0,基础信息!$B$1,"")</f>
        <v/>
      </c>
      <c r="S210" s="229">
        <f t="shared" si="28"/>
        <v>0</v>
      </c>
      <c r="Z210" s="230">
        <f t="shared" si="29"/>
        <v>0</v>
      </c>
      <c r="AA210" s="230">
        <f t="shared" si="30"/>
        <v>0</v>
      </c>
      <c r="AB210" s="230">
        <f t="shared" si="31"/>
        <v>0</v>
      </c>
      <c r="AC210" s="230">
        <f t="shared" si="32"/>
        <v>0</v>
      </c>
      <c r="AD210" s="230">
        <f t="shared" si="33"/>
        <v>0</v>
      </c>
      <c r="AE210" s="230">
        <f t="shared" si="34"/>
        <v>0</v>
      </c>
      <c r="AF210" s="230">
        <f t="shared" si="35"/>
        <v>0</v>
      </c>
      <c r="AG210" s="230">
        <f t="shared" si="36"/>
        <v>0</v>
      </c>
    </row>
    <row r="211" spans="1:33">
      <c r="A211" t="str">
        <f>IF(ABS(H211)&gt;0,基础信息!$B$1,"")</f>
        <v/>
      </c>
      <c r="S211" s="229">
        <f t="shared" si="28"/>
        <v>0</v>
      </c>
      <c r="Z211" s="230">
        <f t="shared" si="29"/>
        <v>0</v>
      </c>
      <c r="AA211" s="230">
        <f t="shared" si="30"/>
        <v>0</v>
      </c>
      <c r="AB211" s="230">
        <f t="shared" si="31"/>
        <v>0</v>
      </c>
      <c r="AC211" s="230">
        <f t="shared" si="32"/>
        <v>0</v>
      </c>
      <c r="AD211" s="230">
        <f t="shared" si="33"/>
        <v>0</v>
      </c>
      <c r="AE211" s="230">
        <f t="shared" si="34"/>
        <v>0</v>
      </c>
      <c r="AF211" s="230">
        <f t="shared" si="35"/>
        <v>0</v>
      </c>
      <c r="AG211" s="230">
        <f t="shared" si="36"/>
        <v>0</v>
      </c>
    </row>
    <row r="212" spans="1:33">
      <c r="A212" t="str">
        <f>IF(ABS(H212)&gt;0,基础信息!$B$1,"")</f>
        <v/>
      </c>
      <c r="S212" s="229">
        <f t="shared" si="28"/>
        <v>0</v>
      </c>
      <c r="Z212" s="230">
        <f t="shared" si="29"/>
        <v>0</v>
      </c>
      <c r="AA212" s="230">
        <f t="shared" si="30"/>
        <v>0</v>
      </c>
      <c r="AB212" s="230">
        <f t="shared" si="31"/>
        <v>0</v>
      </c>
      <c r="AC212" s="230">
        <f t="shared" si="32"/>
        <v>0</v>
      </c>
      <c r="AD212" s="230">
        <f t="shared" si="33"/>
        <v>0</v>
      </c>
      <c r="AE212" s="230">
        <f t="shared" si="34"/>
        <v>0</v>
      </c>
      <c r="AF212" s="230">
        <f t="shared" si="35"/>
        <v>0</v>
      </c>
      <c r="AG212" s="230">
        <f t="shared" si="36"/>
        <v>0</v>
      </c>
    </row>
    <row r="213" spans="1:33">
      <c r="A213" t="str">
        <f>IF(ABS(H213)&gt;0,基础信息!$B$1,"")</f>
        <v/>
      </c>
      <c r="S213" s="229">
        <f t="shared" ref="S213:S276" si="37">O213+P213-Q213-R213</f>
        <v>0</v>
      </c>
      <c r="Z213" s="230">
        <f t="shared" ref="Z213:Z276" si="38">H213-S213</f>
        <v>0</v>
      </c>
      <c r="AA213" s="230">
        <f t="shared" ref="AA213:AA276" si="39">I213-T213</f>
        <v>0</v>
      </c>
      <c r="AB213" s="230">
        <f t="shared" ref="AB213:AB276" si="40">J213-U213</f>
        <v>0</v>
      </c>
      <c r="AC213" s="230">
        <f t="shared" ref="AC213:AC276" si="41">K213-V213</f>
        <v>0</v>
      </c>
      <c r="AD213" s="230">
        <f t="shared" ref="AD213:AD276" si="42">L213-W213</f>
        <v>0</v>
      </c>
      <c r="AE213" s="230">
        <f t="shared" ref="AE213:AE276" si="43">M213-X213</f>
        <v>0</v>
      </c>
      <c r="AF213" s="230">
        <f t="shared" ref="AF213:AF276" si="44">N213-Y213</f>
        <v>0</v>
      </c>
      <c r="AG213" s="230">
        <f t="shared" ref="AG213:AG276" si="45">S213-SUM(T213:Y213)</f>
        <v>0</v>
      </c>
    </row>
    <row r="214" spans="1:33">
      <c r="A214" t="str">
        <f>IF(ABS(H214)&gt;0,基础信息!$B$1,"")</f>
        <v/>
      </c>
      <c r="S214" s="229">
        <f t="shared" si="37"/>
        <v>0</v>
      </c>
      <c r="Z214" s="230">
        <f t="shared" si="38"/>
        <v>0</v>
      </c>
      <c r="AA214" s="230">
        <f t="shared" si="39"/>
        <v>0</v>
      </c>
      <c r="AB214" s="230">
        <f t="shared" si="40"/>
        <v>0</v>
      </c>
      <c r="AC214" s="230">
        <f t="shared" si="41"/>
        <v>0</v>
      </c>
      <c r="AD214" s="230">
        <f t="shared" si="42"/>
        <v>0</v>
      </c>
      <c r="AE214" s="230">
        <f t="shared" si="43"/>
        <v>0</v>
      </c>
      <c r="AF214" s="230">
        <f t="shared" si="44"/>
        <v>0</v>
      </c>
      <c r="AG214" s="230">
        <f t="shared" si="45"/>
        <v>0</v>
      </c>
    </row>
    <row r="215" spans="1:33">
      <c r="A215" t="str">
        <f>IF(ABS(H215)&gt;0,基础信息!$B$1,"")</f>
        <v/>
      </c>
      <c r="S215" s="229">
        <f t="shared" si="37"/>
        <v>0</v>
      </c>
      <c r="Z215" s="230">
        <f t="shared" si="38"/>
        <v>0</v>
      </c>
      <c r="AA215" s="230">
        <f t="shared" si="39"/>
        <v>0</v>
      </c>
      <c r="AB215" s="230">
        <f t="shared" si="40"/>
        <v>0</v>
      </c>
      <c r="AC215" s="230">
        <f t="shared" si="41"/>
        <v>0</v>
      </c>
      <c r="AD215" s="230">
        <f t="shared" si="42"/>
        <v>0</v>
      </c>
      <c r="AE215" s="230">
        <f t="shared" si="43"/>
        <v>0</v>
      </c>
      <c r="AF215" s="230">
        <f t="shared" si="44"/>
        <v>0</v>
      </c>
      <c r="AG215" s="230">
        <f t="shared" si="45"/>
        <v>0</v>
      </c>
    </row>
    <row r="216" spans="1:33">
      <c r="A216" t="str">
        <f>IF(ABS(H216)&gt;0,基础信息!$B$1,"")</f>
        <v/>
      </c>
      <c r="S216" s="229">
        <f t="shared" si="37"/>
        <v>0</v>
      </c>
      <c r="Z216" s="230">
        <f t="shared" si="38"/>
        <v>0</v>
      </c>
      <c r="AA216" s="230">
        <f t="shared" si="39"/>
        <v>0</v>
      </c>
      <c r="AB216" s="230">
        <f t="shared" si="40"/>
        <v>0</v>
      </c>
      <c r="AC216" s="230">
        <f t="shared" si="41"/>
        <v>0</v>
      </c>
      <c r="AD216" s="230">
        <f t="shared" si="42"/>
        <v>0</v>
      </c>
      <c r="AE216" s="230">
        <f t="shared" si="43"/>
        <v>0</v>
      </c>
      <c r="AF216" s="230">
        <f t="shared" si="44"/>
        <v>0</v>
      </c>
      <c r="AG216" s="230">
        <f t="shared" si="45"/>
        <v>0</v>
      </c>
    </row>
    <row r="217" spans="1:33">
      <c r="A217" t="str">
        <f>IF(ABS(H217)&gt;0,基础信息!$B$1,"")</f>
        <v/>
      </c>
      <c r="S217" s="229">
        <f t="shared" si="37"/>
        <v>0</v>
      </c>
      <c r="Z217" s="230">
        <f t="shared" si="38"/>
        <v>0</v>
      </c>
      <c r="AA217" s="230">
        <f t="shared" si="39"/>
        <v>0</v>
      </c>
      <c r="AB217" s="230">
        <f t="shared" si="40"/>
        <v>0</v>
      </c>
      <c r="AC217" s="230">
        <f t="shared" si="41"/>
        <v>0</v>
      </c>
      <c r="AD217" s="230">
        <f t="shared" si="42"/>
        <v>0</v>
      </c>
      <c r="AE217" s="230">
        <f t="shared" si="43"/>
        <v>0</v>
      </c>
      <c r="AF217" s="230">
        <f t="shared" si="44"/>
        <v>0</v>
      </c>
      <c r="AG217" s="230">
        <f t="shared" si="45"/>
        <v>0</v>
      </c>
    </row>
    <row r="218" spans="1:33">
      <c r="A218" t="str">
        <f>IF(ABS(H218)&gt;0,基础信息!$B$1,"")</f>
        <v/>
      </c>
      <c r="S218" s="229">
        <f t="shared" si="37"/>
        <v>0</v>
      </c>
      <c r="Z218" s="230">
        <f t="shared" si="38"/>
        <v>0</v>
      </c>
      <c r="AA218" s="230">
        <f t="shared" si="39"/>
        <v>0</v>
      </c>
      <c r="AB218" s="230">
        <f t="shared" si="40"/>
        <v>0</v>
      </c>
      <c r="AC218" s="230">
        <f t="shared" si="41"/>
        <v>0</v>
      </c>
      <c r="AD218" s="230">
        <f t="shared" si="42"/>
        <v>0</v>
      </c>
      <c r="AE218" s="230">
        <f t="shared" si="43"/>
        <v>0</v>
      </c>
      <c r="AF218" s="230">
        <f t="shared" si="44"/>
        <v>0</v>
      </c>
      <c r="AG218" s="230">
        <f t="shared" si="45"/>
        <v>0</v>
      </c>
    </row>
    <row r="219" spans="1:33">
      <c r="A219" t="str">
        <f>IF(ABS(H219)&gt;0,基础信息!$B$1,"")</f>
        <v/>
      </c>
      <c r="S219" s="229">
        <f t="shared" si="37"/>
        <v>0</v>
      </c>
      <c r="Z219" s="230">
        <f t="shared" si="38"/>
        <v>0</v>
      </c>
      <c r="AA219" s="230">
        <f t="shared" si="39"/>
        <v>0</v>
      </c>
      <c r="AB219" s="230">
        <f t="shared" si="40"/>
        <v>0</v>
      </c>
      <c r="AC219" s="230">
        <f t="shared" si="41"/>
        <v>0</v>
      </c>
      <c r="AD219" s="230">
        <f t="shared" si="42"/>
        <v>0</v>
      </c>
      <c r="AE219" s="230">
        <f t="shared" si="43"/>
        <v>0</v>
      </c>
      <c r="AF219" s="230">
        <f t="shared" si="44"/>
        <v>0</v>
      </c>
      <c r="AG219" s="230">
        <f t="shared" si="45"/>
        <v>0</v>
      </c>
    </row>
    <row r="220" spans="1:33">
      <c r="A220" t="str">
        <f>IF(ABS(H220)&gt;0,基础信息!$B$1,"")</f>
        <v/>
      </c>
      <c r="S220" s="229">
        <f t="shared" si="37"/>
        <v>0</v>
      </c>
      <c r="Z220" s="230">
        <f t="shared" si="38"/>
        <v>0</v>
      </c>
      <c r="AA220" s="230">
        <f t="shared" si="39"/>
        <v>0</v>
      </c>
      <c r="AB220" s="230">
        <f t="shared" si="40"/>
        <v>0</v>
      </c>
      <c r="AC220" s="230">
        <f t="shared" si="41"/>
        <v>0</v>
      </c>
      <c r="AD220" s="230">
        <f t="shared" si="42"/>
        <v>0</v>
      </c>
      <c r="AE220" s="230">
        <f t="shared" si="43"/>
        <v>0</v>
      </c>
      <c r="AF220" s="230">
        <f t="shared" si="44"/>
        <v>0</v>
      </c>
      <c r="AG220" s="230">
        <f t="shared" si="45"/>
        <v>0</v>
      </c>
    </row>
    <row r="221" spans="1:33">
      <c r="A221" t="str">
        <f>IF(ABS(H221)&gt;0,基础信息!$B$1,"")</f>
        <v/>
      </c>
      <c r="S221" s="229">
        <f t="shared" si="37"/>
        <v>0</v>
      </c>
      <c r="Z221" s="230">
        <f t="shared" si="38"/>
        <v>0</v>
      </c>
      <c r="AA221" s="230">
        <f t="shared" si="39"/>
        <v>0</v>
      </c>
      <c r="AB221" s="230">
        <f t="shared" si="40"/>
        <v>0</v>
      </c>
      <c r="AC221" s="230">
        <f t="shared" si="41"/>
        <v>0</v>
      </c>
      <c r="AD221" s="230">
        <f t="shared" si="42"/>
        <v>0</v>
      </c>
      <c r="AE221" s="230">
        <f t="shared" si="43"/>
        <v>0</v>
      </c>
      <c r="AF221" s="230">
        <f t="shared" si="44"/>
        <v>0</v>
      </c>
      <c r="AG221" s="230">
        <f t="shared" si="45"/>
        <v>0</v>
      </c>
    </row>
    <row r="222" spans="1:33">
      <c r="A222" t="str">
        <f>IF(ABS(H222)&gt;0,基础信息!$B$1,"")</f>
        <v/>
      </c>
      <c r="S222" s="229">
        <f t="shared" si="37"/>
        <v>0</v>
      </c>
      <c r="Z222" s="230">
        <f t="shared" si="38"/>
        <v>0</v>
      </c>
      <c r="AA222" s="230">
        <f t="shared" si="39"/>
        <v>0</v>
      </c>
      <c r="AB222" s="230">
        <f t="shared" si="40"/>
        <v>0</v>
      </c>
      <c r="AC222" s="230">
        <f t="shared" si="41"/>
        <v>0</v>
      </c>
      <c r="AD222" s="230">
        <f t="shared" si="42"/>
        <v>0</v>
      </c>
      <c r="AE222" s="230">
        <f t="shared" si="43"/>
        <v>0</v>
      </c>
      <c r="AF222" s="230">
        <f t="shared" si="44"/>
        <v>0</v>
      </c>
      <c r="AG222" s="230">
        <f t="shared" si="45"/>
        <v>0</v>
      </c>
    </row>
    <row r="223" spans="1:33">
      <c r="A223" t="str">
        <f>IF(ABS(H223)&gt;0,基础信息!$B$1,"")</f>
        <v/>
      </c>
      <c r="S223" s="229">
        <f t="shared" si="37"/>
        <v>0</v>
      </c>
      <c r="Z223" s="230">
        <f t="shared" si="38"/>
        <v>0</v>
      </c>
      <c r="AA223" s="230">
        <f t="shared" si="39"/>
        <v>0</v>
      </c>
      <c r="AB223" s="230">
        <f t="shared" si="40"/>
        <v>0</v>
      </c>
      <c r="AC223" s="230">
        <f t="shared" si="41"/>
        <v>0</v>
      </c>
      <c r="AD223" s="230">
        <f t="shared" si="42"/>
        <v>0</v>
      </c>
      <c r="AE223" s="230">
        <f t="shared" si="43"/>
        <v>0</v>
      </c>
      <c r="AF223" s="230">
        <f t="shared" si="44"/>
        <v>0</v>
      </c>
      <c r="AG223" s="230">
        <f t="shared" si="45"/>
        <v>0</v>
      </c>
    </row>
    <row r="224" spans="1:33">
      <c r="A224" t="str">
        <f>IF(ABS(H224)&gt;0,基础信息!$B$1,"")</f>
        <v/>
      </c>
      <c r="S224" s="229">
        <f t="shared" si="37"/>
        <v>0</v>
      </c>
      <c r="Z224" s="230">
        <f t="shared" si="38"/>
        <v>0</v>
      </c>
      <c r="AA224" s="230">
        <f t="shared" si="39"/>
        <v>0</v>
      </c>
      <c r="AB224" s="230">
        <f t="shared" si="40"/>
        <v>0</v>
      </c>
      <c r="AC224" s="230">
        <f t="shared" si="41"/>
        <v>0</v>
      </c>
      <c r="AD224" s="230">
        <f t="shared" si="42"/>
        <v>0</v>
      </c>
      <c r="AE224" s="230">
        <f t="shared" si="43"/>
        <v>0</v>
      </c>
      <c r="AF224" s="230">
        <f t="shared" si="44"/>
        <v>0</v>
      </c>
      <c r="AG224" s="230">
        <f t="shared" si="45"/>
        <v>0</v>
      </c>
    </row>
    <row r="225" spans="1:33">
      <c r="A225" t="str">
        <f>IF(ABS(H225)&gt;0,基础信息!$B$1,"")</f>
        <v/>
      </c>
      <c r="S225" s="229">
        <f t="shared" si="37"/>
        <v>0</v>
      </c>
      <c r="Z225" s="230">
        <f t="shared" si="38"/>
        <v>0</v>
      </c>
      <c r="AA225" s="230">
        <f t="shared" si="39"/>
        <v>0</v>
      </c>
      <c r="AB225" s="230">
        <f t="shared" si="40"/>
        <v>0</v>
      </c>
      <c r="AC225" s="230">
        <f t="shared" si="41"/>
        <v>0</v>
      </c>
      <c r="AD225" s="230">
        <f t="shared" si="42"/>
        <v>0</v>
      </c>
      <c r="AE225" s="230">
        <f t="shared" si="43"/>
        <v>0</v>
      </c>
      <c r="AF225" s="230">
        <f t="shared" si="44"/>
        <v>0</v>
      </c>
      <c r="AG225" s="230">
        <f t="shared" si="45"/>
        <v>0</v>
      </c>
    </row>
    <row r="226" spans="1:33">
      <c r="A226" t="str">
        <f>IF(ABS(H226)&gt;0,基础信息!$B$1,"")</f>
        <v/>
      </c>
      <c r="S226" s="229">
        <f t="shared" si="37"/>
        <v>0</v>
      </c>
      <c r="Z226" s="230">
        <f t="shared" si="38"/>
        <v>0</v>
      </c>
      <c r="AA226" s="230">
        <f t="shared" si="39"/>
        <v>0</v>
      </c>
      <c r="AB226" s="230">
        <f t="shared" si="40"/>
        <v>0</v>
      </c>
      <c r="AC226" s="230">
        <f t="shared" si="41"/>
        <v>0</v>
      </c>
      <c r="AD226" s="230">
        <f t="shared" si="42"/>
        <v>0</v>
      </c>
      <c r="AE226" s="230">
        <f t="shared" si="43"/>
        <v>0</v>
      </c>
      <c r="AF226" s="230">
        <f t="shared" si="44"/>
        <v>0</v>
      </c>
      <c r="AG226" s="230">
        <f t="shared" si="45"/>
        <v>0</v>
      </c>
    </row>
    <row r="227" spans="1:33">
      <c r="A227" t="str">
        <f>IF(ABS(H227)&gt;0,基础信息!$B$1,"")</f>
        <v/>
      </c>
      <c r="S227" s="229">
        <f t="shared" si="37"/>
        <v>0</v>
      </c>
      <c r="Z227" s="230">
        <f t="shared" si="38"/>
        <v>0</v>
      </c>
      <c r="AA227" s="230">
        <f t="shared" si="39"/>
        <v>0</v>
      </c>
      <c r="AB227" s="230">
        <f t="shared" si="40"/>
        <v>0</v>
      </c>
      <c r="AC227" s="230">
        <f t="shared" si="41"/>
        <v>0</v>
      </c>
      <c r="AD227" s="230">
        <f t="shared" si="42"/>
        <v>0</v>
      </c>
      <c r="AE227" s="230">
        <f t="shared" si="43"/>
        <v>0</v>
      </c>
      <c r="AF227" s="230">
        <f t="shared" si="44"/>
        <v>0</v>
      </c>
      <c r="AG227" s="230">
        <f t="shared" si="45"/>
        <v>0</v>
      </c>
    </row>
    <row r="228" spans="1:33">
      <c r="A228" t="str">
        <f>IF(ABS(H228)&gt;0,基础信息!$B$1,"")</f>
        <v/>
      </c>
      <c r="S228" s="229">
        <f t="shared" si="37"/>
        <v>0</v>
      </c>
      <c r="Z228" s="230">
        <f t="shared" si="38"/>
        <v>0</v>
      </c>
      <c r="AA228" s="230">
        <f t="shared" si="39"/>
        <v>0</v>
      </c>
      <c r="AB228" s="230">
        <f t="shared" si="40"/>
        <v>0</v>
      </c>
      <c r="AC228" s="230">
        <f t="shared" si="41"/>
        <v>0</v>
      </c>
      <c r="AD228" s="230">
        <f t="shared" si="42"/>
        <v>0</v>
      </c>
      <c r="AE228" s="230">
        <f t="shared" si="43"/>
        <v>0</v>
      </c>
      <c r="AF228" s="230">
        <f t="shared" si="44"/>
        <v>0</v>
      </c>
      <c r="AG228" s="230">
        <f t="shared" si="45"/>
        <v>0</v>
      </c>
    </row>
    <row r="229" spans="1:33">
      <c r="A229" t="str">
        <f>IF(ABS(H229)&gt;0,基础信息!$B$1,"")</f>
        <v/>
      </c>
      <c r="S229" s="229">
        <f t="shared" si="37"/>
        <v>0</v>
      </c>
      <c r="Z229" s="230">
        <f t="shared" si="38"/>
        <v>0</v>
      </c>
      <c r="AA229" s="230">
        <f t="shared" si="39"/>
        <v>0</v>
      </c>
      <c r="AB229" s="230">
        <f t="shared" si="40"/>
        <v>0</v>
      </c>
      <c r="AC229" s="230">
        <f t="shared" si="41"/>
        <v>0</v>
      </c>
      <c r="AD229" s="230">
        <f t="shared" si="42"/>
        <v>0</v>
      </c>
      <c r="AE229" s="230">
        <f t="shared" si="43"/>
        <v>0</v>
      </c>
      <c r="AF229" s="230">
        <f t="shared" si="44"/>
        <v>0</v>
      </c>
      <c r="AG229" s="230">
        <f t="shared" si="45"/>
        <v>0</v>
      </c>
    </row>
    <row r="230" spans="1:33">
      <c r="A230" t="str">
        <f>IF(ABS(H230)&gt;0,基础信息!$B$1,"")</f>
        <v/>
      </c>
      <c r="S230" s="229">
        <f t="shared" si="37"/>
        <v>0</v>
      </c>
      <c r="Z230" s="230">
        <f t="shared" si="38"/>
        <v>0</v>
      </c>
      <c r="AA230" s="230">
        <f t="shared" si="39"/>
        <v>0</v>
      </c>
      <c r="AB230" s="230">
        <f t="shared" si="40"/>
        <v>0</v>
      </c>
      <c r="AC230" s="230">
        <f t="shared" si="41"/>
        <v>0</v>
      </c>
      <c r="AD230" s="230">
        <f t="shared" si="42"/>
        <v>0</v>
      </c>
      <c r="AE230" s="230">
        <f t="shared" si="43"/>
        <v>0</v>
      </c>
      <c r="AF230" s="230">
        <f t="shared" si="44"/>
        <v>0</v>
      </c>
      <c r="AG230" s="230">
        <f t="shared" si="45"/>
        <v>0</v>
      </c>
    </row>
    <row r="231" spans="1:33">
      <c r="A231" t="str">
        <f>IF(ABS(H231)&gt;0,基础信息!$B$1,"")</f>
        <v/>
      </c>
      <c r="S231" s="229">
        <f t="shared" si="37"/>
        <v>0</v>
      </c>
      <c r="Z231" s="230">
        <f t="shared" si="38"/>
        <v>0</v>
      </c>
      <c r="AA231" s="230">
        <f t="shared" si="39"/>
        <v>0</v>
      </c>
      <c r="AB231" s="230">
        <f t="shared" si="40"/>
        <v>0</v>
      </c>
      <c r="AC231" s="230">
        <f t="shared" si="41"/>
        <v>0</v>
      </c>
      <c r="AD231" s="230">
        <f t="shared" si="42"/>
        <v>0</v>
      </c>
      <c r="AE231" s="230">
        <f t="shared" si="43"/>
        <v>0</v>
      </c>
      <c r="AF231" s="230">
        <f t="shared" si="44"/>
        <v>0</v>
      </c>
      <c r="AG231" s="230">
        <f t="shared" si="45"/>
        <v>0</v>
      </c>
    </row>
    <row r="232" spans="1:33">
      <c r="A232" t="str">
        <f>IF(ABS(H232)&gt;0,基础信息!$B$1,"")</f>
        <v/>
      </c>
      <c r="S232" s="229">
        <f t="shared" si="37"/>
        <v>0</v>
      </c>
      <c r="Z232" s="230">
        <f t="shared" si="38"/>
        <v>0</v>
      </c>
      <c r="AA232" s="230">
        <f t="shared" si="39"/>
        <v>0</v>
      </c>
      <c r="AB232" s="230">
        <f t="shared" si="40"/>
        <v>0</v>
      </c>
      <c r="AC232" s="230">
        <f t="shared" si="41"/>
        <v>0</v>
      </c>
      <c r="AD232" s="230">
        <f t="shared" si="42"/>
        <v>0</v>
      </c>
      <c r="AE232" s="230">
        <f t="shared" si="43"/>
        <v>0</v>
      </c>
      <c r="AF232" s="230">
        <f t="shared" si="44"/>
        <v>0</v>
      </c>
      <c r="AG232" s="230">
        <f t="shared" si="45"/>
        <v>0</v>
      </c>
    </row>
    <row r="233" spans="1:33">
      <c r="A233" t="str">
        <f>IF(ABS(H233)&gt;0,基础信息!$B$1,"")</f>
        <v/>
      </c>
      <c r="S233" s="229">
        <f t="shared" si="37"/>
        <v>0</v>
      </c>
      <c r="Z233" s="230">
        <f t="shared" si="38"/>
        <v>0</v>
      </c>
      <c r="AA233" s="230">
        <f t="shared" si="39"/>
        <v>0</v>
      </c>
      <c r="AB233" s="230">
        <f t="shared" si="40"/>
        <v>0</v>
      </c>
      <c r="AC233" s="230">
        <f t="shared" si="41"/>
        <v>0</v>
      </c>
      <c r="AD233" s="230">
        <f t="shared" si="42"/>
        <v>0</v>
      </c>
      <c r="AE233" s="230">
        <f t="shared" si="43"/>
        <v>0</v>
      </c>
      <c r="AF233" s="230">
        <f t="shared" si="44"/>
        <v>0</v>
      </c>
      <c r="AG233" s="230">
        <f t="shared" si="45"/>
        <v>0</v>
      </c>
    </row>
    <row r="234" spans="1:33">
      <c r="A234" t="str">
        <f>IF(ABS(H234)&gt;0,基础信息!$B$1,"")</f>
        <v/>
      </c>
      <c r="S234" s="229">
        <f t="shared" si="37"/>
        <v>0</v>
      </c>
      <c r="Z234" s="230">
        <f t="shared" si="38"/>
        <v>0</v>
      </c>
      <c r="AA234" s="230">
        <f t="shared" si="39"/>
        <v>0</v>
      </c>
      <c r="AB234" s="230">
        <f t="shared" si="40"/>
        <v>0</v>
      </c>
      <c r="AC234" s="230">
        <f t="shared" si="41"/>
        <v>0</v>
      </c>
      <c r="AD234" s="230">
        <f t="shared" si="42"/>
        <v>0</v>
      </c>
      <c r="AE234" s="230">
        <f t="shared" si="43"/>
        <v>0</v>
      </c>
      <c r="AF234" s="230">
        <f t="shared" si="44"/>
        <v>0</v>
      </c>
      <c r="AG234" s="230">
        <f t="shared" si="45"/>
        <v>0</v>
      </c>
    </row>
    <row r="235" spans="1:33">
      <c r="A235" t="str">
        <f>IF(ABS(H235)&gt;0,基础信息!$B$1,"")</f>
        <v/>
      </c>
      <c r="S235" s="229">
        <f t="shared" si="37"/>
        <v>0</v>
      </c>
      <c r="Z235" s="230">
        <f t="shared" si="38"/>
        <v>0</v>
      </c>
      <c r="AA235" s="230">
        <f t="shared" si="39"/>
        <v>0</v>
      </c>
      <c r="AB235" s="230">
        <f t="shared" si="40"/>
        <v>0</v>
      </c>
      <c r="AC235" s="230">
        <f t="shared" si="41"/>
        <v>0</v>
      </c>
      <c r="AD235" s="230">
        <f t="shared" si="42"/>
        <v>0</v>
      </c>
      <c r="AE235" s="230">
        <f t="shared" si="43"/>
        <v>0</v>
      </c>
      <c r="AF235" s="230">
        <f t="shared" si="44"/>
        <v>0</v>
      </c>
      <c r="AG235" s="230">
        <f t="shared" si="45"/>
        <v>0</v>
      </c>
    </row>
    <row r="236" spans="1:33">
      <c r="A236" t="str">
        <f>IF(ABS(H236)&gt;0,基础信息!$B$1,"")</f>
        <v/>
      </c>
      <c r="S236" s="229">
        <f t="shared" si="37"/>
        <v>0</v>
      </c>
      <c r="Z236" s="230">
        <f t="shared" si="38"/>
        <v>0</v>
      </c>
      <c r="AA236" s="230">
        <f t="shared" si="39"/>
        <v>0</v>
      </c>
      <c r="AB236" s="230">
        <f t="shared" si="40"/>
        <v>0</v>
      </c>
      <c r="AC236" s="230">
        <f t="shared" si="41"/>
        <v>0</v>
      </c>
      <c r="AD236" s="230">
        <f t="shared" si="42"/>
        <v>0</v>
      </c>
      <c r="AE236" s="230">
        <f t="shared" si="43"/>
        <v>0</v>
      </c>
      <c r="AF236" s="230">
        <f t="shared" si="44"/>
        <v>0</v>
      </c>
      <c r="AG236" s="230">
        <f t="shared" si="45"/>
        <v>0</v>
      </c>
    </row>
    <row r="237" spans="1:33">
      <c r="A237" t="str">
        <f>IF(ABS(H237)&gt;0,基础信息!$B$1,"")</f>
        <v/>
      </c>
      <c r="S237" s="229">
        <f t="shared" si="37"/>
        <v>0</v>
      </c>
      <c r="Z237" s="230">
        <f t="shared" si="38"/>
        <v>0</v>
      </c>
      <c r="AA237" s="230">
        <f t="shared" si="39"/>
        <v>0</v>
      </c>
      <c r="AB237" s="230">
        <f t="shared" si="40"/>
        <v>0</v>
      </c>
      <c r="AC237" s="230">
        <f t="shared" si="41"/>
        <v>0</v>
      </c>
      <c r="AD237" s="230">
        <f t="shared" si="42"/>
        <v>0</v>
      </c>
      <c r="AE237" s="230">
        <f t="shared" si="43"/>
        <v>0</v>
      </c>
      <c r="AF237" s="230">
        <f t="shared" si="44"/>
        <v>0</v>
      </c>
      <c r="AG237" s="230">
        <f t="shared" si="45"/>
        <v>0</v>
      </c>
    </row>
    <row r="238" spans="1:33">
      <c r="A238" t="str">
        <f>IF(ABS(H238)&gt;0,基础信息!$B$1,"")</f>
        <v/>
      </c>
      <c r="S238" s="229">
        <f t="shared" si="37"/>
        <v>0</v>
      </c>
      <c r="Z238" s="230">
        <f t="shared" si="38"/>
        <v>0</v>
      </c>
      <c r="AA238" s="230">
        <f t="shared" si="39"/>
        <v>0</v>
      </c>
      <c r="AB238" s="230">
        <f t="shared" si="40"/>
        <v>0</v>
      </c>
      <c r="AC238" s="230">
        <f t="shared" si="41"/>
        <v>0</v>
      </c>
      <c r="AD238" s="230">
        <f t="shared" si="42"/>
        <v>0</v>
      </c>
      <c r="AE238" s="230">
        <f t="shared" si="43"/>
        <v>0</v>
      </c>
      <c r="AF238" s="230">
        <f t="shared" si="44"/>
        <v>0</v>
      </c>
      <c r="AG238" s="230">
        <f t="shared" si="45"/>
        <v>0</v>
      </c>
    </row>
    <row r="239" spans="1:33">
      <c r="A239" t="str">
        <f>IF(ABS(H239)&gt;0,基础信息!$B$1,"")</f>
        <v/>
      </c>
      <c r="S239" s="229">
        <f t="shared" si="37"/>
        <v>0</v>
      </c>
      <c r="Z239" s="230">
        <f t="shared" si="38"/>
        <v>0</v>
      </c>
      <c r="AA239" s="230">
        <f t="shared" si="39"/>
        <v>0</v>
      </c>
      <c r="AB239" s="230">
        <f t="shared" si="40"/>
        <v>0</v>
      </c>
      <c r="AC239" s="230">
        <f t="shared" si="41"/>
        <v>0</v>
      </c>
      <c r="AD239" s="230">
        <f t="shared" si="42"/>
        <v>0</v>
      </c>
      <c r="AE239" s="230">
        <f t="shared" si="43"/>
        <v>0</v>
      </c>
      <c r="AF239" s="230">
        <f t="shared" si="44"/>
        <v>0</v>
      </c>
      <c r="AG239" s="230">
        <f t="shared" si="45"/>
        <v>0</v>
      </c>
    </row>
    <row r="240" spans="1:33">
      <c r="A240" t="str">
        <f>IF(ABS(H240)&gt;0,基础信息!$B$1,"")</f>
        <v/>
      </c>
      <c r="S240" s="229">
        <f t="shared" si="37"/>
        <v>0</v>
      </c>
      <c r="Z240" s="230">
        <f t="shared" si="38"/>
        <v>0</v>
      </c>
      <c r="AA240" s="230">
        <f t="shared" si="39"/>
        <v>0</v>
      </c>
      <c r="AB240" s="230">
        <f t="shared" si="40"/>
        <v>0</v>
      </c>
      <c r="AC240" s="230">
        <f t="shared" si="41"/>
        <v>0</v>
      </c>
      <c r="AD240" s="230">
        <f t="shared" si="42"/>
        <v>0</v>
      </c>
      <c r="AE240" s="230">
        <f t="shared" si="43"/>
        <v>0</v>
      </c>
      <c r="AF240" s="230">
        <f t="shared" si="44"/>
        <v>0</v>
      </c>
      <c r="AG240" s="230">
        <f t="shared" si="45"/>
        <v>0</v>
      </c>
    </row>
    <row r="241" spans="1:33">
      <c r="A241" t="str">
        <f>IF(ABS(H241)&gt;0,基础信息!$B$1,"")</f>
        <v/>
      </c>
      <c r="S241" s="229">
        <f t="shared" si="37"/>
        <v>0</v>
      </c>
      <c r="Z241" s="230">
        <f t="shared" si="38"/>
        <v>0</v>
      </c>
      <c r="AA241" s="230">
        <f t="shared" si="39"/>
        <v>0</v>
      </c>
      <c r="AB241" s="230">
        <f t="shared" si="40"/>
        <v>0</v>
      </c>
      <c r="AC241" s="230">
        <f t="shared" si="41"/>
        <v>0</v>
      </c>
      <c r="AD241" s="230">
        <f t="shared" si="42"/>
        <v>0</v>
      </c>
      <c r="AE241" s="230">
        <f t="shared" si="43"/>
        <v>0</v>
      </c>
      <c r="AF241" s="230">
        <f t="shared" si="44"/>
        <v>0</v>
      </c>
      <c r="AG241" s="230">
        <f t="shared" si="45"/>
        <v>0</v>
      </c>
    </row>
    <row r="242" spans="1:33">
      <c r="A242" t="str">
        <f>IF(ABS(H242)&gt;0,基础信息!$B$1,"")</f>
        <v/>
      </c>
      <c r="S242" s="229">
        <f t="shared" si="37"/>
        <v>0</v>
      </c>
      <c r="Z242" s="230">
        <f t="shared" si="38"/>
        <v>0</v>
      </c>
      <c r="AA242" s="230">
        <f t="shared" si="39"/>
        <v>0</v>
      </c>
      <c r="AB242" s="230">
        <f t="shared" si="40"/>
        <v>0</v>
      </c>
      <c r="AC242" s="230">
        <f t="shared" si="41"/>
        <v>0</v>
      </c>
      <c r="AD242" s="230">
        <f t="shared" si="42"/>
        <v>0</v>
      </c>
      <c r="AE242" s="230">
        <f t="shared" si="43"/>
        <v>0</v>
      </c>
      <c r="AF242" s="230">
        <f t="shared" si="44"/>
        <v>0</v>
      </c>
      <c r="AG242" s="230">
        <f t="shared" si="45"/>
        <v>0</v>
      </c>
    </row>
    <row r="243" spans="1:33">
      <c r="A243" t="str">
        <f>IF(ABS(H243)&gt;0,基础信息!$B$1,"")</f>
        <v/>
      </c>
      <c r="S243" s="229">
        <f t="shared" si="37"/>
        <v>0</v>
      </c>
      <c r="Z243" s="230">
        <f t="shared" si="38"/>
        <v>0</v>
      </c>
      <c r="AA243" s="230">
        <f t="shared" si="39"/>
        <v>0</v>
      </c>
      <c r="AB243" s="230">
        <f t="shared" si="40"/>
        <v>0</v>
      </c>
      <c r="AC243" s="230">
        <f t="shared" si="41"/>
        <v>0</v>
      </c>
      <c r="AD243" s="230">
        <f t="shared" si="42"/>
        <v>0</v>
      </c>
      <c r="AE243" s="230">
        <f t="shared" si="43"/>
        <v>0</v>
      </c>
      <c r="AF243" s="230">
        <f t="shared" si="44"/>
        <v>0</v>
      </c>
      <c r="AG243" s="230">
        <f t="shared" si="45"/>
        <v>0</v>
      </c>
    </row>
    <row r="244" spans="1:33">
      <c r="A244" t="str">
        <f>IF(ABS(H244)&gt;0,基础信息!$B$1,"")</f>
        <v/>
      </c>
      <c r="S244" s="229">
        <f t="shared" si="37"/>
        <v>0</v>
      </c>
      <c r="Z244" s="230">
        <f t="shared" si="38"/>
        <v>0</v>
      </c>
      <c r="AA244" s="230">
        <f t="shared" si="39"/>
        <v>0</v>
      </c>
      <c r="AB244" s="230">
        <f t="shared" si="40"/>
        <v>0</v>
      </c>
      <c r="AC244" s="230">
        <f t="shared" si="41"/>
        <v>0</v>
      </c>
      <c r="AD244" s="230">
        <f t="shared" si="42"/>
        <v>0</v>
      </c>
      <c r="AE244" s="230">
        <f t="shared" si="43"/>
        <v>0</v>
      </c>
      <c r="AF244" s="230">
        <f t="shared" si="44"/>
        <v>0</v>
      </c>
      <c r="AG244" s="230">
        <f t="shared" si="45"/>
        <v>0</v>
      </c>
    </row>
    <row r="245" spans="1:33">
      <c r="A245" t="str">
        <f>IF(ABS(H245)&gt;0,基础信息!$B$1,"")</f>
        <v/>
      </c>
      <c r="S245" s="229">
        <f t="shared" si="37"/>
        <v>0</v>
      </c>
      <c r="Z245" s="230">
        <f t="shared" si="38"/>
        <v>0</v>
      </c>
      <c r="AA245" s="230">
        <f t="shared" si="39"/>
        <v>0</v>
      </c>
      <c r="AB245" s="230">
        <f t="shared" si="40"/>
        <v>0</v>
      </c>
      <c r="AC245" s="230">
        <f t="shared" si="41"/>
        <v>0</v>
      </c>
      <c r="AD245" s="230">
        <f t="shared" si="42"/>
        <v>0</v>
      </c>
      <c r="AE245" s="230">
        <f t="shared" si="43"/>
        <v>0</v>
      </c>
      <c r="AF245" s="230">
        <f t="shared" si="44"/>
        <v>0</v>
      </c>
      <c r="AG245" s="230">
        <f t="shared" si="45"/>
        <v>0</v>
      </c>
    </row>
    <row r="246" spans="1:33">
      <c r="A246" t="str">
        <f>IF(ABS(H246)&gt;0,基础信息!$B$1,"")</f>
        <v/>
      </c>
      <c r="S246" s="229">
        <f t="shared" si="37"/>
        <v>0</v>
      </c>
      <c r="Z246" s="230">
        <f t="shared" si="38"/>
        <v>0</v>
      </c>
      <c r="AA246" s="230">
        <f t="shared" si="39"/>
        <v>0</v>
      </c>
      <c r="AB246" s="230">
        <f t="shared" si="40"/>
        <v>0</v>
      </c>
      <c r="AC246" s="230">
        <f t="shared" si="41"/>
        <v>0</v>
      </c>
      <c r="AD246" s="230">
        <f t="shared" si="42"/>
        <v>0</v>
      </c>
      <c r="AE246" s="230">
        <f t="shared" si="43"/>
        <v>0</v>
      </c>
      <c r="AF246" s="230">
        <f t="shared" si="44"/>
        <v>0</v>
      </c>
      <c r="AG246" s="230">
        <f t="shared" si="45"/>
        <v>0</v>
      </c>
    </row>
    <row r="247" spans="1:33">
      <c r="A247" t="str">
        <f>IF(ABS(H247)&gt;0,基础信息!$B$1,"")</f>
        <v/>
      </c>
      <c r="S247" s="229">
        <f t="shared" si="37"/>
        <v>0</v>
      </c>
      <c r="Z247" s="230">
        <f t="shared" si="38"/>
        <v>0</v>
      </c>
      <c r="AA247" s="230">
        <f t="shared" si="39"/>
        <v>0</v>
      </c>
      <c r="AB247" s="230">
        <f t="shared" si="40"/>
        <v>0</v>
      </c>
      <c r="AC247" s="230">
        <f t="shared" si="41"/>
        <v>0</v>
      </c>
      <c r="AD247" s="230">
        <f t="shared" si="42"/>
        <v>0</v>
      </c>
      <c r="AE247" s="230">
        <f t="shared" si="43"/>
        <v>0</v>
      </c>
      <c r="AF247" s="230">
        <f t="shared" si="44"/>
        <v>0</v>
      </c>
      <c r="AG247" s="230">
        <f t="shared" si="45"/>
        <v>0</v>
      </c>
    </row>
    <row r="248" spans="1:33">
      <c r="A248" t="str">
        <f>IF(ABS(H248)&gt;0,基础信息!$B$1,"")</f>
        <v/>
      </c>
      <c r="S248" s="229">
        <f t="shared" si="37"/>
        <v>0</v>
      </c>
      <c r="Z248" s="230">
        <f t="shared" si="38"/>
        <v>0</v>
      </c>
      <c r="AA248" s="230">
        <f t="shared" si="39"/>
        <v>0</v>
      </c>
      <c r="AB248" s="230">
        <f t="shared" si="40"/>
        <v>0</v>
      </c>
      <c r="AC248" s="230">
        <f t="shared" si="41"/>
        <v>0</v>
      </c>
      <c r="AD248" s="230">
        <f t="shared" si="42"/>
        <v>0</v>
      </c>
      <c r="AE248" s="230">
        <f t="shared" si="43"/>
        <v>0</v>
      </c>
      <c r="AF248" s="230">
        <f t="shared" si="44"/>
        <v>0</v>
      </c>
      <c r="AG248" s="230">
        <f t="shared" si="45"/>
        <v>0</v>
      </c>
    </row>
    <row r="249" spans="1:33">
      <c r="A249" t="str">
        <f>IF(ABS(H249)&gt;0,基础信息!$B$1,"")</f>
        <v/>
      </c>
      <c r="S249" s="229">
        <f t="shared" si="37"/>
        <v>0</v>
      </c>
      <c r="Z249" s="230">
        <f t="shared" si="38"/>
        <v>0</v>
      </c>
      <c r="AA249" s="230">
        <f t="shared" si="39"/>
        <v>0</v>
      </c>
      <c r="AB249" s="230">
        <f t="shared" si="40"/>
        <v>0</v>
      </c>
      <c r="AC249" s="230">
        <f t="shared" si="41"/>
        <v>0</v>
      </c>
      <c r="AD249" s="230">
        <f t="shared" si="42"/>
        <v>0</v>
      </c>
      <c r="AE249" s="230">
        <f t="shared" si="43"/>
        <v>0</v>
      </c>
      <c r="AF249" s="230">
        <f t="shared" si="44"/>
        <v>0</v>
      </c>
      <c r="AG249" s="230">
        <f t="shared" si="45"/>
        <v>0</v>
      </c>
    </row>
    <row r="250" spans="1:33">
      <c r="A250" t="str">
        <f>IF(ABS(H250)&gt;0,基础信息!$B$1,"")</f>
        <v/>
      </c>
      <c r="S250" s="229">
        <f t="shared" si="37"/>
        <v>0</v>
      </c>
      <c r="Z250" s="230">
        <f t="shared" si="38"/>
        <v>0</v>
      </c>
      <c r="AA250" s="230">
        <f t="shared" si="39"/>
        <v>0</v>
      </c>
      <c r="AB250" s="230">
        <f t="shared" si="40"/>
        <v>0</v>
      </c>
      <c r="AC250" s="230">
        <f t="shared" si="41"/>
        <v>0</v>
      </c>
      <c r="AD250" s="230">
        <f t="shared" si="42"/>
        <v>0</v>
      </c>
      <c r="AE250" s="230">
        <f t="shared" si="43"/>
        <v>0</v>
      </c>
      <c r="AF250" s="230">
        <f t="shared" si="44"/>
        <v>0</v>
      </c>
      <c r="AG250" s="230">
        <f t="shared" si="45"/>
        <v>0</v>
      </c>
    </row>
    <row r="251" spans="1:33">
      <c r="A251" t="str">
        <f>IF(ABS(H251)&gt;0,基础信息!$B$1,"")</f>
        <v/>
      </c>
      <c r="S251" s="229">
        <f t="shared" si="37"/>
        <v>0</v>
      </c>
      <c r="Z251" s="230">
        <f t="shared" si="38"/>
        <v>0</v>
      </c>
      <c r="AA251" s="230">
        <f t="shared" si="39"/>
        <v>0</v>
      </c>
      <c r="AB251" s="230">
        <f t="shared" si="40"/>
        <v>0</v>
      </c>
      <c r="AC251" s="230">
        <f t="shared" si="41"/>
        <v>0</v>
      </c>
      <c r="AD251" s="230">
        <f t="shared" si="42"/>
        <v>0</v>
      </c>
      <c r="AE251" s="230">
        <f t="shared" si="43"/>
        <v>0</v>
      </c>
      <c r="AF251" s="230">
        <f t="shared" si="44"/>
        <v>0</v>
      </c>
      <c r="AG251" s="230">
        <f t="shared" si="45"/>
        <v>0</v>
      </c>
    </row>
    <row r="252" spans="1:33">
      <c r="A252" t="str">
        <f>IF(ABS(H252)&gt;0,基础信息!$B$1,"")</f>
        <v/>
      </c>
      <c r="S252" s="229">
        <f t="shared" si="37"/>
        <v>0</v>
      </c>
      <c r="Z252" s="230">
        <f t="shared" si="38"/>
        <v>0</v>
      </c>
      <c r="AA252" s="230">
        <f t="shared" si="39"/>
        <v>0</v>
      </c>
      <c r="AB252" s="230">
        <f t="shared" si="40"/>
        <v>0</v>
      </c>
      <c r="AC252" s="230">
        <f t="shared" si="41"/>
        <v>0</v>
      </c>
      <c r="AD252" s="230">
        <f t="shared" si="42"/>
        <v>0</v>
      </c>
      <c r="AE252" s="230">
        <f t="shared" si="43"/>
        <v>0</v>
      </c>
      <c r="AF252" s="230">
        <f t="shared" si="44"/>
        <v>0</v>
      </c>
      <c r="AG252" s="230">
        <f t="shared" si="45"/>
        <v>0</v>
      </c>
    </row>
    <row r="253" spans="1:33">
      <c r="A253" t="str">
        <f>IF(ABS(H253)&gt;0,基础信息!$B$1,"")</f>
        <v/>
      </c>
      <c r="S253" s="229">
        <f t="shared" si="37"/>
        <v>0</v>
      </c>
      <c r="Z253" s="230">
        <f t="shared" si="38"/>
        <v>0</v>
      </c>
      <c r="AA253" s="230">
        <f t="shared" si="39"/>
        <v>0</v>
      </c>
      <c r="AB253" s="230">
        <f t="shared" si="40"/>
        <v>0</v>
      </c>
      <c r="AC253" s="230">
        <f t="shared" si="41"/>
        <v>0</v>
      </c>
      <c r="AD253" s="230">
        <f t="shared" si="42"/>
        <v>0</v>
      </c>
      <c r="AE253" s="230">
        <f t="shared" si="43"/>
        <v>0</v>
      </c>
      <c r="AF253" s="230">
        <f t="shared" si="44"/>
        <v>0</v>
      </c>
      <c r="AG253" s="230">
        <f t="shared" si="45"/>
        <v>0</v>
      </c>
    </row>
    <row r="254" spans="1:33">
      <c r="A254" t="str">
        <f>IF(ABS(H254)&gt;0,基础信息!$B$1,"")</f>
        <v/>
      </c>
      <c r="S254" s="229">
        <f t="shared" si="37"/>
        <v>0</v>
      </c>
      <c r="Z254" s="230">
        <f t="shared" si="38"/>
        <v>0</v>
      </c>
      <c r="AA254" s="230">
        <f t="shared" si="39"/>
        <v>0</v>
      </c>
      <c r="AB254" s="230">
        <f t="shared" si="40"/>
        <v>0</v>
      </c>
      <c r="AC254" s="230">
        <f t="shared" si="41"/>
        <v>0</v>
      </c>
      <c r="AD254" s="230">
        <f t="shared" si="42"/>
        <v>0</v>
      </c>
      <c r="AE254" s="230">
        <f t="shared" si="43"/>
        <v>0</v>
      </c>
      <c r="AF254" s="230">
        <f t="shared" si="44"/>
        <v>0</v>
      </c>
      <c r="AG254" s="230">
        <f t="shared" si="45"/>
        <v>0</v>
      </c>
    </row>
    <row r="255" spans="1:33">
      <c r="A255" t="str">
        <f>IF(ABS(H255)&gt;0,基础信息!$B$1,"")</f>
        <v/>
      </c>
      <c r="S255" s="229">
        <f t="shared" si="37"/>
        <v>0</v>
      </c>
      <c r="Z255" s="230">
        <f t="shared" si="38"/>
        <v>0</v>
      </c>
      <c r="AA255" s="230">
        <f t="shared" si="39"/>
        <v>0</v>
      </c>
      <c r="AB255" s="230">
        <f t="shared" si="40"/>
        <v>0</v>
      </c>
      <c r="AC255" s="230">
        <f t="shared" si="41"/>
        <v>0</v>
      </c>
      <c r="AD255" s="230">
        <f t="shared" si="42"/>
        <v>0</v>
      </c>
      <c r="AE255" s="230">
        <f t="shared" si="43"/>
        <v>0</v>
      </c>
      <c r="AF255" s="230">
        <f t="shared" si="44"/>
        <v>0</v>
      </c>
      <c r="AG255" s="230">
        <f t="shared" si="45"/>
        <v>0</v>
      </c>
    </row>
    <row r="256" spans="1:33">
      <c r="A256" t="str">
        <f>IF(ABS(H256)&gt;0,基础信息!$B$1,"")</f>
        <v/>
      </c>
      <c r="S256" s="229">
        <f t="shared" si="37"/>
        <v>0</v>
      </c>
      <c r="Z256" s="230">
        <f t="shared" si="38"/>
        <v>0</v>
      </c>
      <c r="AA256" s="230">
        <f t="shared" si="39"/>
        <v>0</v>
      </c>
      <c r="AB256" s="230">
        <f t="shared" si="40"/>
        <v>0</v>
      </c>
      <c r="AC256" s="230">
        <f t="shared" si="41"/>
        <v>0</v>
      </c>
      <c r="AD256" s="230">
        <f t="shared" si="42"/>
        <v>0</v>
      </c>
      <c r="AE256" s="230">
        <f t="shared" si="43"/>
        <v>0</v>
      </c>
      <c r="AF256" s="230">
        <f t="shared" si="44"/>
        <v>0</v>
      </c>
      <c r="AG256" s="230">
        <f t="shared" si="45"/>
        <v>0</v>
      </c>
    </row>
    <row r="257" spans="1:33">
      <c r="A257" t="str">
        <f>IF(ABS(H257)&gt;0,基础信息!$B$1,"")</f>
        <v/>
      </c>
      <c r="S257" s="229">
        <f t="shared" si="37"/>
        <v>0</v>
      </c>
      <c r="Z257" s="230">
        <f t="shared" si="38"/>
        <v>0</v>
      </c>
      <c r="AA257" s="230">
        <f t="shared" si="39"/>
        <v>0</v>
      </c>
      <c r="AB257" s="230">
        <f t="shared" si="40"/>
        <v>0</v>
      </c>
      <c r="AC257" s="230">
        <f t="shared" si="41"/>
        <v>0</v>
      </c>
      <c r="AD257" s="230">
        <f t="shared" si="42"/>
        <v>0</v>
      </c>
      <c r="AE257" s="230">
        <f t="shared" si="43"/>
        <v>0</v>
      </c>
      <c r="AF257" s="230">
        <f t="shared" si="44"/>
        <v>0</v>
      </c>
      <c r="AG257" s="230">
        <f t="shared" si="45"/>
        <v>0</v>
      </c>
    </row>
    <row r="258" spans="1:33">
      <c r="A258" t="str">
        <f>IF(ABS(H258)&gt;0,基础信息!$B$1,"")</f>
        <v/>
      </c>
      <c r="S258" s="229">
        <f t="shared" si="37"/>
        <v>0</v>
      </c>
      <c r="Z258" s="230">
        <f t="shared" si="38"/>
        <v>0</v>
      </c>
      <c r="AA258" s="230">
        <f t="shared" si="39"/>
        <v>0</v>
      </c>
      <c r="AB258" s="230">
        <f t="shared" si="40"/>
        <v>0</v>
      </c>
      <c r="AC258" s="230">
        <f t="shared" si="41"/>
        <v>0</v>
      </c>
      <c r="AD258" s="230">
        <f t="shared" si="42"/>
        <v>0</v>
      </c>
      <c r="AE258" s="230">
        <f t="shared" si="43"/>
        <v>0</v>
      </c>
      <c r="AF258" s="230">
        <f t="shared" si="44"/>
        <v>0</v>
      </c>
      <c r="AG258" s="230">
        <f t="shared" si="45"/>
        <v>0</v>
      </c>
    </row>
    <row r="259" spans="1:33">
      <c r="A259" t="str">
        <f>IF(ABS(H259)&gt;0,基础信息!$B$1,"")</f>
        <v/>
      </c>
      <c r="S259" s="229">
        <f t="shared" si="37"/>
        <v>0</v>
      </c>
      <c r="Z259" s="230">
        <f t="shared" si="38"/>
        <v>0</v>
      </c>
      <c r="AA259" s="230">
        <f t="shared" si="39"/>
        <v>0</v>
      </c>
      <c r="AB259" s="230">
        <f t="shared" si="40"/>
        <v>0</v>
      </c>
      <c r="AC259" s="230">
        <f t="shared" si="41"/>
        <v>0</v>
      </c>
      <c r="AD259" s="230">
        <f t="shared" si="42"/>
        <v>0</v>
      </c>
      <c r="AE259" s="230">
        <f t="shared" si="43"/>
        <v>0</v>
      </c>
      <c r="AF259" s="230">
        <f t="shared" si="44"/>
        <v>0</v>
      </c>
      <c r="AG259" s="230">
        <f t="shared" si="45"/>
        <v>0</v>
      </c>
    </row>
    <row r="260" spans="1:33">
      <c r="A260" t="str">
        <f>IF(ABS(H260)&gt;0,基础信息!$B$1,"")</f>
        <v/>
      </c>
      <c r="S260" s="229">
        <f t="shared" si="37"/>
        <v>0</v>
      </c>
      <c r="Z260" s="230">
        <f t="shared" si="38"/>
        <v>0</v>
      </c>
      <c r="AA260" s="230">
        <f t="shared" si="39"/>
        <v>0</v>
      </c>
      <c r="AB260" s="230">
        <f t="shared" si="40"/>
        <v>0</v>
      </c>
      <c r="AC260" s="230">
        <f t="shared" si="41"/>
        <v>0</v>
      </c>
      <c r="AD260" s="230">
        <f t="shared" si="42"/>
        <v>0</v>
      </c>
      <c r="AE260" s="230">
        <f t="shared" si="43"/>
        <v>0</v>
      </c>
      <c r="AF260" s="230">
        <f t="shared" si="44"/>
        <v>0</v>
      </c>
      <c r="AG260" s="230">
        <f t="shared" si="45"/>
        <v>0</v>
      </c>
    </row>
    <row r="261" spans="1:33">
      <c r="A261" t="str">
        <f>IF(ABS(H261)&gt;0,基础信息!$B$1,"")</f>
        <v/>
      </c>
      <c r="S261" s="229">
        <f t="shared" si="37"/>
        <v>0</v>
      </c>
      <c r="Z261" s="230">
        <f t="shared" si="38"/>
        <v>0</v>
      </c>
      <c r="AA261" s="230">
        <f t="shared" si="39"/>
        <v>0</v>
      </c>
      <c r="AB261" s="230">
        <f t="shared" si="40"/>
        <v>0</v>
      </c>
      <c r="AC261" s="230">
        <f t="shared" si="41"/>
        <v>0</v>
      </c>
      <c r="AD261" s="230">
        <f t="shared" si="42"/>
        <v>0</v>
      </c>
      <c r="AE261" s="230">
        <f t="shared" si="43"/>
        <v>0</v>
      </c>
      <c r="AF261" s="230">
        <f t="shared" si="44"/>
        <v>0</v>
      </c>
      <c r="AG261" s="230">
        <f t="shared" si="45"/>
        <v>0</v>
      </c>
    </row>
    <row r="262" spans="1:33">
      <c r="A262" t="str">
        <f>IF(ABS(H262)&gt;0,基础信息!$B$1,"")</f>
        <v/>
      </c>
      <c r="S262" s="229">
        <f t="shared" si="37"/>
        <v>0</v>
      </c>
      <c r="Z262" s="230">
        <f t="shared" si="38"/>
        <v>0</v>
      </c>
      <c r="AA262" s="230">
        <f t="shared" si="39"/>
        <v>0</v>
      </c>
      <c r="AB262" s="230">
        <f t="shared" si="40"/>
        <v>0</v>
      </c>
      <c r="AC262" s="230">
        <f t="shared" si="41"/>
        <v>0</v>
      </c>
      <c r="AD262" s="230">
        <f t="shared" si="42"/>
        <v>0</v>
      </c>
      <c r="AE262" s="230">
        <f t="shared" si="43"/>
        <v>0</v>
      </c>
      <c r="AF262" s="230">
        <f t="shared" si="44"/>
        <v>0</v>
      </c>
      <c r="AG262" s="230">
        <f t="shared" si="45"/>
        <v>0</v>
      </c>
    </row>
    <row r="263" spans="1:33">
      <c r="A263" t="str">
        <f>IF(ABS(H263)&gt;0,基础信息!$B$1,"")</f>
        <v/>
      </c>
      <c r="S263" s="229">
        <f t="shared" si="37"/>
        <v>0</v>
      </c>
      <c r="Z263" s="230">
        <f t="shared" si="38"/>
        <v>0</v>
      </c>
      <c r="AA263" s="230">
        <f t="shared" si="39"/>
        <v>0</v>
      </c>
      <c r="AB263" s="230">
        <f t="shared" si="40"/>
        <v>0</v>
      </c>
      <c r="AC263" s="230">
        <f t="shared" si="41"/>
        <v>0</v>
      </c>
      <c r="AD263" s="230">
        <f t="shared" si="42"/>
        <v>0</v>
      </c>
      <c r="AE263" s="230">
        <f t="shared" si="43"/>
        <v>0</v>
      </c>
      <c r="AF263" s="230">
        <f t="shared" si="44"/>
        <v>0</v>
      </c>
      <c r="AG263" s="230">
        <f t="shared" si="45"/>
        <v>0</v>
      </c>
    </row>
    <row r="264" spans="1:33">
      <c r="A264" t="str">
        <f>IF(ABS(H264)&gt;0,基础信息!$B$1,"")</f>
        <v/>
      </c>
      <c r="S264" s="229">
        <f t="shared" si="37"/>
        <v>0</v>
      </c>
      <c r="Z264" s="230">
        <f t="shared" si="38"/>
        <v>0</v>
      </c>
      <c r="AA264" s="230">
        <f t="shared" si="39"/>
        <v>0</v>
      </c>
      <c r="AB264" s="230">
        <f t="shared" si="40"/>
        <v>0</v>
      </c>
      <c r="AC264" s="230">
        <f t="shared" si="41"/>
        <v>0</v>
      </c>
      <c r="AD264" s="230">
        <f t="shared" si="42"/>
        <v>0</v>
      </c>
      <c r="AE264" s="230">
        <f t="shared" si="43"/>
        <v>0</v>
      </c>
      <c r="AF264" s="230">
        <f t="shared" si="44"/>
        <v>0</v>
      </c>
      <c r="AG264" s="230">
        <f t="shared" si="45"/>
        <v>0</v>
      </c>
    </row>
    <row r="265" spans="1:33">
      <c r="A265" t="str">
        <f>IF(ABS(H265)&gt;0,基础信息!$B$1,"")</f>
        <v/>
      </c>
      <c r="S265" s="229">
        <f t="shared" si="37"/>
        <v>0</v>
      </c>
      <c r="Z265" s="230">
        <f t="shared" si="38"/>
        <v>0</v>
      </c>
      <c r="AA265" s="230">
        <f t="shared" si="39"/>
        <v>0</v>
      </c>
      <c r="AB265" s="230">
        <f t="shared" si="40"/>
        <v>0</v>
      </c>
      <c r="AC265" s="230">
        <f t="shared" si="41"/>
        <v>0</v>
      </c>
      <c r="AD265" s="230">
        <f t="shared" si="42"/>
        <v>0</v>
      </c>
      <c r="AE265" s="230">
        <f t="shared" si="43"/>
        <v>0</v>
      </c>
      <c r="AF265" s="230">
        <f t="shared" si="44"/>
        <v>0</v>
      </c>
      <c r="AG265" s="230">
        <f t="shared" si="45"/>
        <v>0</v>
      </c>
    </row>
    <row r="266" spans="1:33">
      <c r="A266" t="str">
        <f>IF(ABS(H266)&gt;0,基础信息!$B$1,"")</f>
        <v/>
      </c>
      <c r="S266" s="229">
        <f t="shared" si="37"/>
        <v>0</v>
      </c>
      <c r="Z266" s="230">
        <f t="shared" si="38"/>
        <v>0</v>
      </c>
      <c r="AA266" s="230">
        <f t="shared" si="39"/>
        <v>0</v>
      </c>
      <c r="AB266" s="230">
        <f t="shared" si="40"/>
        <v>0</v>
      </c>
      <c r="AC266" s="230">
        <f t="shared" si="41"/>
        <v>0</v>
      </c>
      <c r="AD266" s="230">
        <f t="shared" si="42"/>
        <v>0</v>
      </c>
      <c r="AE266" s="230">
        <f t="shared" si="43"/>
        <v>0</v>
      </c>
      <c r="AF266" s="230">
        <f t="shared" si="44"/>
        <v>0</v>
      </c>
      <c r="AG266" s="230">
        <f t="shared" si="45"/>
        <v>0</v>
      </c>
    </row>
    <row r="267" spans="1:33">
      <c r="A267" t="str">
        <f>IF(ABS(H267)&gt;0,基础信息!$B$1,"")</f>
        <v/>
      </c>
      <c r="S267" s="229">
        <f t="shared" si="37"/>
        <v>0</v>
      </c>
      <c r="Z267" s="230">
        <f t="shared" si="38"/>
        <v>0</v>
      </c>
      <c r="AA267" s="230">
        <f t="shared" si="39"/>
        <v>0</v>
      </c>
      <c r="AB267" s="230">
        <f t="shared" si="40"/>
        <v>0</v>
      </c>
      <c r="AC267" s="230">
        <f t="shared" si="41"/>
        <v>0</v>
      </c>
      <c r="AD267" s="230">
        <f t="shared" si="42"/>
        <v>0</v>
      </c>
      <c r="AE267" s="230">
        <f t="shared" si="43"/>
        <v>0</v>
      </c>
      <c r="AF267" s="230">
        <f t="shared" si="44"/>
        <v>0</v>
      </c>
      <c r="AG267" s="230">
        <f t="shared" si="45"/>
        <v>0</v>
      </c>
    </row>
    <row r="268" spans="1:33">
      <c r="A268" t="str">
        <f>IF(ABS(H268)&gt;0,基础信息!$B$1,"")</f>
        <v/>
      </c>
      <c r="S268" s="229">
        <f t="shared" si="37"/>
        <v>0</v>
      </c>
      <c r="Z268" s="230">
        <f t="shared" si="38"/>
        <v>0</v>
      </c>
      <c r="AA268" s="230">
        <f t="shared" si="39"/>
        <v>0</v>
      </c>
      <c r="AB268" s="230">
        <f t="shared" si="40"/>
        <v>0</v>
      </c>
      <c r="AC268" s="230">
        <f t="shared" si="41"/>
        <v>0</v>
      </c>
      <c r="AD268" s="230">
        <f t="shared" si="42"/>
        <v>0</v>
      </c>
      <c r="AE268" s="230">
        <f t="shared" si="43"/>
        <v>0</v>
      </c>
      <c r="AF268" s="230">
        <f t="shared" si="44"/>
        <v>0</v>
      </c>
      <c r="AG268" s="230">
        <f t="shared" si="45"/>
        <v>0</v>
      </c>
    </row>
    <row r="269" spans="1:33">
      <c r="A269" t="str">
        <f>IF(ABS(H269)&gt;0,基础信息!$B$1,"")</f>
        <v/>
      </c>
      <c r="S269" s="229">
        <f t="shared" si="37"/>
        <v>0</v>
      </c>
      <c r="Z269" s="230">
        <f t="shared" si="38"/>
        <v>0</v>
      </c>
      <c r="AA269" s="230">
        <f t="shared" si="39"/>
        <v>0</v>
      </c>
      <c r="AB269" s="230">
        <f t="shared" si="40"/>
        <v>0</v>
      </c>
      <c r="AC269" s="230">
        <f t="shared" si="41"/>
        <v>0</v>
      </c>
      <c r="AD269" s="230">
        <f t="shared" si="42"/>
        <v>0</v>
      </c>
      <c r="AE269" s="230">
        <f t="shared" si="43"/>
        <v>0</v>
      </c>
      <c r="AF269" s="230">
        <f t="shared" si="44"/>
        <v>0</v>
      </c>
      <c r="AG269" s="230">
        <f t="shared" si="45"/>
        <v>0</v>
      </c>
    </row>
    <row r="270" spans="1:33">
      <c r="A270" t="str">
        <f>IF(ABS(H270)&gt;0,基础信息!$B$1,"")</f>
        <v/>
      </c>
      <c r="S270" s="229">
        <f t="shared" si="37"/>
        <v>0</v>
      </c>
      <c r="Z270" s="230">
        <f t="shared" si="38"/>
        <v>0</v>
      </c>
      <c r="AA270" s="230">
        <f t="shared" si="39"/>
        <v>0</v>
      </c>
      <c r="AB270" s="230">
        <f t="shared" si="40"/>
        <v>0</v>
      </c>
      <c r="AC270" s="230">
        <f t="shared" si="41"/>
        <v>0</v>
      </c>
      <c r="AD270" s="230">
        <f t="shared" si="42"/>
        <v>0</v>
      </c>
      <c r="AE270" s="230">
        <f t="shared" si="43"/>
        <v>0</v>
      </c>
      <c r="AF270" s="230">
        <f t="shared" si="44"/>
        <v>0</v>
      </c>
      <c r="AG270" s="230">
        <f t="shared" si="45"/>
        <v>0</v>
      </c>
    </row>
    <row r="271" spans="1:33">
      <c r="A271" t="str">
        <f>IF(ABS(H271)&gt;0,基础信息!$B$1,"")</f>
        <v/>
      </c>
      <c r="S271" s="229">
        <f t="shared" si="37"/>
        <v>0</v>
      </c>
      <c r="Z271" s="230">
        <f t="shared" si="38"/>
        <v>0</v>
      </c>
      <c r="AA271" s="230">
        <f t="shared" si="39"/>
        <v>0</v>
      </c>
      <c r="AB271" s="230">
        <f t="shared" si="40"/>
        <v>0</v>
      </c>
      <c r="AC271" s="230">
        <f t="shared" si="41"/>
        <v>0</v>
      </c>
      <c r="AD271" s="230">
        <f t="shared" si="42"/>
        <v>0</v>
      </c>
      <c r="AE271" s="230">
        <f t="shared" si="43"/>
        <v>0</v>
      </c>
      <c r="AF271" s="230">
        <f t="shared" si="44"/>
        <v>0</v>
      </c>
      <c r="AG271" s="230">
        <f t="shared" si="45"/>
        <v>0</v>
      </c>
    </row>
    <row r="272" spans="1:33">
      <c r="A272" t="str">
        <f>IF(ABS(H272)&gt;0,基础信息!$B$1,"")</f>
        <v/>
      </c>
      <c r="S272" s="229">
        <f t="shared" si="37"/>
        <v>0</v>
      </c>
      <c r="Z272" s="230">
        <f t="shared" si="38"/>
        <v>0</v>
      </c>
      <c r="AA272" s="230">
        <f t="shared" si="39"/>
        <v>0</v>
      </c>
      <c r="AB272" s="230">
        <f t="shared" si="40"/>
        <v>0</v>
      </c>
      <c r="AC272" s="230">
        <f t="shared" si="41"/>
        <v>0</v>
      </c>
      <c r="AD272" s="230">
        <f t="shared" si="42"/>
        <v>0</v>
      </c>
      <c r="AE272" s="230">
        <f t="shared" si="43"/>
        <v>0</v>
      </c>
      <c r="AF272" s="230">
        <f t="shared" si="44"/>
        <v>0</v>
      </c>
      <c r="AG272" s="230">
        <f t="shared" si="45"/>
        <v>0</v>
      </c>
    </row>
    <row r="273" spans="1:33">
      <c r="A273" t="str">
        <f>IF(ABS(H273)&gt;0,基础信息!$B$1,"")</f>
        <v/>
      </c>
      <c r="S273" s="229">
        <f t="shared" si="37"/>
        <v>0</v>
      </c>
      <c r="Z273" s="230">
        <f t="shared" si="38"/>
        <v>0</v>
      </c>
      <c r="AA273" s="230">
        <f t="shared" si="39"/>
        <v>0</v>
      </c>
      <c r="AB273" s="230">
        <f t="shared" si="40"/>
        <v>0</v>
      </c>
      <c r="AC273" s="230">
        <f t="shared" si="41"/>
        <v>0</v>
      </c>
      <c r="AD273" s="230">
        <f t="shared" si="42"/>
        <v>0</v>
      </c>
      <c r="AE273" s="230">
        <f t="shared" si="43"/>
        <v>0</v>
      </c>
      <c r="AF273" s="230">
        <f t="shared" si="44"/>
        <v>0</v>
      </c>
      <c r="AG273" s="230">
        <f t="shared" si="45"/>
        <v>0</v>
      </c>
    </row>
    <row r="274" spans="1:33">
      <c r="A274" t="str">
        <f>IF(ABS(H274)&gt;0,基础信息!$B$1,"")</f>
        <v/>
      </c>
      <c r="S274" s="229">
        <f t="shared" si="37"/>
        <v>0</v>
      </c>
      <c r="Z274" s="230">
        <f t="shared" si="38"/>
        <v>0</v>
      </c>
      <c r="AA274" s="230">
        <f t="shared" si="39"/>
        <v>0</v>
      </c>
      <c r="AB274" s="230">
        <f t="shared" si="40"/>
        <v>0</v>
      </c>
      <c r="AC274" s="230">
        <f t="shared" si="41"/>
        <v>0</v>
      </c>
      <c r="AD274" s="230">
        <f t="shared" si="42"/>
        <v>0</v>
      </c>
      <c r="AE274" s="230">
        <f t="shared" si="43"/>
        <v>0</v>
      </c>
      <c r="AF274" s="230">
        <f t="shared" si="44"/>
        <v>0</v>
      </c>
      <c r="AG274" s="230">
        <f t="shared" si="45"/>
        <v>0</v>
      </c>
    </row>
    <row r="275" spans="1:33">
      <c r="A275" t="str">
        <f>IF(ABS(H275)&gt;0,基础信息!$B$1,"")</f>
        <v/>
      </c>
      <c r="S275" s="229">
        <f t="shared" si="37"/>
        <v>0</v>
      </c>
      <c r="Z275" s="230">
        <f t="shared" si="38"/>
        <v>0</v>
      </c>
      <c r="AA275" s="230">
        <f t="shared" si="39"/>
        <v>0</v>
      </c>
      <c r="AB275" s="230">
        <f t="shared" si="40"/>
        <v>0</v>
      </c>
      <c r="AC275" s="230">
        <f t="shared" si="41"/>
        <v>0</v>
      </c>
      <c r="AD275" s="230">
        <f t="shared" si="42"/>
        <v>0</v>
      </c>
      <c r="AE275" s="230">
        <f t="shared" si="43"/>
        <v>0</v>
      </c>
      <c r="AF275" s="230">
        <f t="shared" si="44"/>
        <v>0</v>
      </c>
      <c r="AG275" s="230">
        <f t="shared" si="45"/>
        <v>0</v>
      </c>
    </row>
    <row r="276" spans="1:33">
      <c r="A276" t="str">
        <f>IF(ABS(H276)&gt;0,基础信息!$B$1,"")</f>
        <v/>
      </c>
      <c r="S276" s="229">
        <f t="shared" si="37"/>
        <v>0</v>
      </c>
      <c r="Z276" s="230">
        <f t="shared" si="38"/>
        <v>0</v>
      </c>
      <c r="AA276" s="230">
        <f t="shared" si="39"/>
        <v>0</v>
      </c>
      <c r="AB276" s="230">
        <f t="shared" si="40"/>
        <v>0</v>
      </c>
      <c r="AC276" s="230">
        <f t="shared" si="41"/>
        <v>0</v>
      </c>
      <c r="AD276" s="230">
        <f t="shared" si="42"/>
        <v>0</v>
      </c>
      <c r="AE276" s="230">
        <f t="shared" si="43"/>
        <v>0</v>
      </c>
      <c r="AF276" s="230">
        <f t="shared" si="44"/>
        <v>0</v>
      </c>
      <c r="AG276" s="230">
        <f t="shared" si="45"/>
        <v>0</v>
      </c>
    </row>
    <row r="277" spans="1:33">
      <c r="A277" t="str">
        <f>IF(ABS(H277)&gt;0,基础信息!$B$1,"")</f>
        <v/>
      </c>
      <c r="S277" s="229">
        <f t="shared" ref="S277:S340" si="46">O277+P277-Q277-R277</f>
        <v>0</v>
      </c>
      <c r="Z277" s="230">
        <f t="shared" ref="Z277:Z340" si="47">H277-S277</f>
        <v>0</v>
      </c>
      <c r="AA277" s="230">
        <f t="shared" ref="AA277:AA340" si="48">I277-T277</f>
        <v>0</v>
      </c>
      <c r="AB277" s="230">
        <f t="shared" ref="AB277:AB340" si="49">J277-U277</f>
        <v>0</v>
      </c>
      <c r="AC277" s="230">
        <f t="shared" ref="AC277:AC340" si="50">K277-V277</f>
        <v>0</v>
      </c>
      <c r="AD277" s="230">
        <f t="shared" ref="AD277:AD340" si="51">L277-W277</f>
        <v>0</v>
      </c>
      <c r="AE277" s="230">
        <f t="shared" ref="AE277:AE340" si="52">M277-X277</f>
        <v>0</v>
      </c>
      <c r="AF277" s="230">
        <f t="shared" ref="AF277:AF340" si="53">N277-Y277</f>
        <v>0</v>
      </c>
      <c r="AG277" s="230">
        <f t="shared" ref="AG277:AG340" si="54">S277-SUM(T277:Y277)</f>
        <v>0</v>
      </c>
    </row>
    <row r="278" spans="1:33">
      <c r="A278" t="str">
        <f>IF(ABS(H278)&gt;0,基础信息!$B$1,"")</f>
        <v/>
      </c>
      <c r="S278" s="229">
        <f t="shared" si="46"/>
        <v>0</v>
      </c>
      <c r="Z278" s="230">
        <f t="shared" si="47"/>
        <v>0</v>
      </c>
      <c r="AA278" s="230">
        <f t="shared" si="48"/>
        <v>0</v>
      </c>
      <c r="AB278" s="230">
        <f t="shared" si="49"/>
        <v>0</v>
      </c>
      <c r="AC278" s="230">
        <f t="shared" si="50"/>
        <v>0</v>
      </c>
      <c r="AD278" s="230">
        <f t="shared" si="51"/>
        <v>0</v>
      </c>
      <c r="AE278" s="230">
        <f t="shared" si="52"/>
        <v>0</v>
      </c>
      <c r="AF278" s="230">
        <f t="shared" si="53"/>
        <v>0</v>
      </c>
      <c r="AG278" s="230">
        <f t="shared" si="54"/>
        <v>0</v>
      </c>
    </row>
    <row r="279" spans="1:33">
      <c r="A279" t="str">
        <f>IF(ABS(H279)&gt;0,基础信息!$B$1,"")</f>
        <v/>
      </c>
      <c r="S279" s="229">
        <f t="shared" si="46"/>
        <v>0</v>
      </c>
      <c r="Z279" s="230">
        <f t="shared" si="47"/>
        <v>0</v>
      </c>
      <c r="AA279" s="230">
        <f t="shared" si="48"/>
        <v>0</v>
      </c>
      <c r="AB279" s="230">
        <f t="shared" si="49"/>
        <v>0</v>
      </c>
      <c r="AC279" s="230">
        <f t="shared" si="50"/>
        <v>0</v>
      </c>
      <c r="AD279" s="230">
        <f t="shared" si="51"/>
        <v>0</v>
      </c>
      <c r="AE279" s="230">
        <f t="shared" si="52"/>
        <v>0</v>
      </c>
      <c r="AF279" s="230">
        <f t="shared" si="53"/>
        <v>0</v>
      </c>
      <c r="AG279" s="230">
        <f t="shared" si="54"/>
        <v>0</v>
      </c>
    </row>
    <row r="280" spans="1:33">
      <c r="A280" t="str">
        <f>IF(ABS(H280)&gt;0,基础信息!$B$1,"")</f>
        <v/>
      </c>
      <c r="S280" s="229">
        <f t="shared" si="46"/>
        <v>0</v>
      </c>
      <c r="Z280" s="230">
        <f t="shared" si="47"/>
        <v>0</v>
      </c>
      <c r="AA280" s="230">
        <f t="shared" si="48"/>
        <v>0</v>
      </c>
      <c r="AB280" s="230">
        <f t="shared" si="49"/>
        <v>0</v>
      </c>
      <c r="AC280" s="230">
        <f t="shared" si="50"/>
        <v>0</v>
      </c>
      <c r="AD280" s="230">
        <f t="shared" si="51"/>
        <v>0</v>
      </c>
      <c r="AE280" s="230">
        <f t="shared" si="52"/>
        <v>0</v>
      </c>
      <c r="AF280" s="230">
        <f t="shared" si="53"/>
        <v>0</v>
      </c>
      <c r="AG280" s="230">
        <f t="shared" si="54"/>
        <v>0</v>
      </c>
    </row>
    <row r="281" spans="1:33">
      <c r="A281" t="str">
        <f>IF(ABS(H281)&gt;0,基础信息!$B$1,"")</f>
        <v/>
      </c>
      <c r="S281" s="229">
        <f t="shared" si="46"/>
        <v>0</v>
      </c>
      <c r="Z281" s="230">
        <f t="shared" si="47"/>
        <v>0</v>
      </c>
      <c r="AA281" s="230">
        <f t="shared" si="48"/>
        <v>0</v>
      </c>
      <c r="AB281" s="230">
        <f t="shared" si="49"/>
        <v>0</v>
      </c>
      <c r="AC281" s="230">
        <f t="shared" si="50"/>
        <v>0</v>
      </c>
      <c r="AD281" s="230">
        <f t="shared" si="51"/>
        <v>0</v>
      </c>
      <c r="AE281" s="230">
        <f t="shared" si="52"/>
        <v>0</v>
      </c>
      <c r="AF281" s="230">
        <f t="shared" si="53"/>
        <v>0</v>
      </c>
      <c r="AG281" s="230">
        <f t="shared" si="54"/>
        <v>0</v>
      </c>
    </row>
    <row r="282" spans="1:33">
      <c r="A282" t="str">
        <f>IF(ABS(H282)&gt;0,基础信息!$B$1,"")</f>
        <v/>
      </c>
      <c r="S282" s="229">
        <f t="shared" si="46"/>
        <v>0</v>
      </c>
      <c r="Z282" s="230">
        <f t="shared" si="47"/>
        <v>0</v>
      </c>
      <c r="AA282" s="230">
        <f t="shared" si="48"/>
        <v>0</v>
      </c>
      <c r="AB282" s="230">
        <f t="shared" si="49"/>
        <v>0</v>
      </c>
      <c r="AC282" s="230">
        <f t="shared" si="50"/>
        <v>0</v>
      </c>
      <c r="AD282" s="230">
        <f t="shared" si="51"/>
        <v>0</v>
      </c>
      <c r="AE282" s="230">
        <f t="shared" si="52"/>
        <v>0</v>
      </c>
      <c r="AF282" s="230">
        <f t="shared" si="53"/>
        <v>0</v>
      </c>
      <c r="AG282" s="230">
        <f t="shared" si="54"/>
        <v>0</v>
      </c>
    </row>
    <row r="283" spans="1:33">
      <c r="A283" t="str">
        <f>IF(ABS(H283)&gt;0,基础信息!$B$1,"")</f>
        <v/>
      </c>
      <c r="S283" s="229">
        <f t="shared" si="46"/>
        <v>0</v>
      </c>
      <c r="Z283" s="230">
        <f t="shared" si="47"/>
        <v>0</v>
      </c>
      <c r="AA283" s="230">
        <f t="shared" si="48"/>
        <v>0</v>
      </c>
      <c r="AB283" s="230">
        <f t="shared" si="49"/>
        <v>0</v>
      </c>
      <c r="AC283" s="230">
        <f t="shared" si="50"/>
        <v>0</v>
      </c>
      <c r="AD283" s="230">
        <f t="shared" si="51"/>
        <v>0</v>
      </c>
      <c r="AE283" s="230">
        <f t="shared" si="52"/>
        <v>0</v>
      </c>
      <c r="AF283" s="230">
        <f t="shared" si="53"/>
        <v>0</v>
      </c>
      <c r="AG283" s="230">
        <f t="shared" si="54"/>
        <v>0</v>
      </c>
    </row>
    <row r="284" spans="1:33">
      <c r="A284" t="str">
        <f>IF(ABS(H284)&gt;0,基础信息!$B$1,"")</f>
        <v/>
      </c>
      <c r="S284" s="229">
        <f t="shared" si="46"/>
        <v>0</v>
      </c>
      <c r="Z284" s="230">
        <f t="shared" si="47"/>
        <v>0</v>
      </c>
      <c r="AA284" s="230">
        <f t="shared" si="48"/>
        <v>0</v>
      </c>
      <c r="AB284" s="230">
        <f t="shared" si="49"/>
        <v>0</v>
      </c>
      <c r="AC284" s="230">
        <f t="shared" si="50"/>
        <v>0</v>
      </c>
      <c r="AD284" s="230">
        <f t="shared" si="51"/>
        <v>0</v>
      </c>
      <c r="AE284" s="230">
        <f t="shared" si="52"/>
        <v>0</v>
      </c>
      <c r="AF284" s="230">
        <f t="shared" si="53"/>
        <v>0</v>
      </c>
      <c r="AG284" s="230">
        <f t="shared" si="54"/>
        <v>0</v>
      </c>
    </row>
    <row r="285" spans="1:33">
      <c r="A285" t="str">
        <f>IF(ABS(H285)&gt;0,基础信息!$B$1,"")</f>
        <v/>
      </c>
      <c r="S285" s="229">
        <f t="shared" si="46"/>
        <v>0</v>
      </c>
      <c r="Z285" s="230">
        <f t="shared" si="47"/>
        <v>0</v>
      </c>
      <c r="AA285" s="230">
        <f t="shared" si="48"/>
        <v>0</v>
      </c>
      <c r="AB285" s="230">
        <f t="shared" si="49"/>
        <v>0</v>
      </c>
      <c r="AC285" s="230">
        <f t="shared" si="50"/>
        <v>0</v>
      </c>
      <c r="AD285" s="230">
        <f t="shared" si="51"/>
        <v>0</v>
      </c>
      <c r="AE285" s="230">
        <f t="shared" si="52"/>
        <v>0</v>
      </c>
      <c r="AF285" s="230">
        <f t="shared" si="53"/>
        <v>0</v>
      </c>
      <c r="AG285" s="230">
        <f t="shared" si="54"/>
        <v>0</v>
      </c>
    </row>
    <row r="286" spans="1:33">
      <c r="A286" t="str">
        <f>IF(ABS(H286)&gt;0,基础信息!$B$1,"")</f>
        <v/>
      </c>
      <c r="S286" s="229">
        <f t="shared" si="46"/>
        <v>0</v>
      </c>
      <c r="Z286" s="230">
        <f t="shared" si="47"/>
        <v>0</v>
      </c>
      <c r="AA286" s="230">
        <f t="shared" si="48"/>
        <v>0</v>
      </c>
      <c r="AB286" s="230">
        <f t="shared" si="49"/>
        <v>0</v>
      </c>
      <c r="AC286" s="230">
        <f t="shared" si="50"/>
        <v>0</v>
      </c>
      <c r="AD286" s="230">
        <f t="shared" si="51"/>
        <v>0</v>
      </c>
      <c r="AE286" s="230">
        <f t="shared" si="52"/>
        <v>0</v>
      </c>
      <c r="AF286" s="230">
        <f t="shared" si="53"/>
        <v>0</v>
      </c>
      <c r="AG286" s="230">
        <f t="shared" si="54"/>
        <v>0</v>
      </c>
    </row>
    <row r="287" spans="1:33">
      <c r="A287" t="str">
        <f>IF(ABS(H287)&gt;0,基础信息!$B$1,"")</f>
        <v/>
      </c>
      <c r="S287" s="229">
        <f t="shared" si="46"/>
        <v>0</v>
      </c>
      <c r="Z287" s="230">
        <f t="shared" si="47"/>
        <v>0</v>
      </c>
      <c r="AA287" s="230">
        <f t="shared" si="48"/>
        <v>0</v>
      </c>
      <c r="AB287" s="230">
        <f t="shared" si="49"/>
        <v>0</v>
      </c>
      <c r="AC287" s="230">
        <f t="shared" si="50"/>
        <v>0</v>
      </c>
      <c r="AD287" s="230">
        <f t="shared" si="51"/>
        <v>0</v>
      </c>
      <c r="AE287" s="230">
        <f t="shared" si="52"/>
        <v>0</v>
      </c>
      <c r="AF287" s="230">
        <f t="shared" si="53"/>
        <v>0</v>
      </c>
      <c r="AG287" s="230">
        <f t="shared" si="54"/>
        <v>0</v>
      </c>
    </row>
    <row r="288" spans="1:33">
      <c r="A288" t="str">
        <f>IF(ABS(H288)&gt;0,基础信息!$B$1,"")</f>
        <v/>
      </c>
      <c r="S288" s="229">
        <f t="shared" si="46"/>
        <v>0</v>
      </c>
      <c r="Z288" s="230">
        <f t="shared" si="47"/>
        <v>0</v>
      </c>
      <c r="AA288" s="230">
        <f t="shared" si="48"/>
        <v>0</v>
      </c>
      <c r="AB288" s="230">
        <f t="shared" si="49"/>
        <v>0</v>
      </c>
      <c r="AC288" s="230">
        <f t="shared" si="50"/>
        <v>0</v>
      </c>
      <c r="AD288" s="230">
        <f t="shared" si="51"/>
        <v>0</v>
      </c>
      <c r="AE288" s="230">
        <f t="shared" si="52"/>
        <v>0</v>
      </c>
      <c r="AF288" s="230">
        <f t="shared" si="53"/>
        <v>0</v>
      </c>
      <c r="AG288" s="230">
        <f t="shared" si="54"/>
        <v>0</v>
      </c>
    </row>
    <row r="289" spans="1:33">
      <c r="A289" t="str">
        <f>IF(ABS(H289)&gt;0,基础信息!$B$1,"")</f>
        <v/>
      </c>
      <c r="S289" s="229">
        <f t="shared" si="46"/>
        <v>0</v>
      </c>
      <c r="Z289" s="230">
        <f t="shared" si="47"/>
        <v>0</v>
      </c>
      <c r="AA289" s="230">
        <f t="shared" si="48"/>
        <v>0</v>
      </c>
      <c r="AB289" s="230">
        <f t="shared" si="49"/>
        <v>0</v>
      </c>
      <c r="AC289" s="230">
        <f t="shared" si="50"/>
        <v>0</v>
      </c>
      <c r="AD289" s="230">
        <f t="shared" si="51"/>
        <v>0</v>
      </c>
      <c r="AE289" s="230">
        <f t="shared" si="52"/>
        <v>0</v>
      </c>
      <c r="AF289" s="230">
        <f t="shared" si="53"/>
        <v>0</v>
      </c>
      <c r="AG289" s="230">
        <f t="shared" si="54"/>
        <v>0</v>
      </c>
    </row>
    <row r="290" spans="1:33">
      <c r="A290" t="str">
        <f>IF(ABS(H290)&gt;0,基础信息!$B$1,"")</f>
        <v/>
      </c>
      <c r="S290" s="229">
        <f t="shared" si="46"/>
        <v>0</v>
      </c>
      <c r="Z290" s="230">
        <f t="shared" si="47"/>
        <v>0</v>
      </c>
      <c r="AA290" s="230">
        <f t="shared" si="48"/>
        <v>0</v>
      </c>
      <c r="AB290" s="230">
        <f t="shared" si="49"/>
        <v>0</v>
      </c>
      <c r="AC290" s="230">
        <f t="shared" si="50"/>
        <v>0</v>
      </c>
      <c r="AD290" s="230">
        <f t="shared" si="51"/>
        <v>0</v>
      </c>
      <c r="AE290" s="230">
        <f t="shared" si="52"/>
        <v>0</v>
      </c>
      <c r="AF290" s="230">
        <f t="shared" si="53"/>
        <v>0</v>
      </c>
      <c r="AG290" s="230">
        <f t="shared" si="54"/>
        <v>0</v>
      </c>
    </row>
    <row r="291" spans="1:33">
      <c r="A291" t="str">
        <f>IF(ABS(H291)&gt;0,基础信息!$B$1,"")</f>
        <v/>
      </c>
      <c r="S291" s="229">
        <f t="shared" si="46"/>
        <v>0</v>
      </c>
      <c r="Z291" s="230">
        <f t="shared" si="47"/>
        <v>0</v>
      </c>
      <c r="AA291" s="230">
        <f t="shared" si="48"/>
        <v>0</v>
      </c>
      <c r="AB291" s="230">
        <f t="shared" si="49"/>
        <v>0</v>
      </c>
      <c r="AC291" s="230">
        <f t="shared" si="50"/>
        <v>0</v>
      </c>
      <c r="AD291" s="230">
        <f t="shared" si="51"/>
        <v>0</v>
      </c>
      <c r="AE291" s="230">
        <f t="shared" si="52"/>
        <v>0</v>
      </c>
      <c r="AF291" s="230">
        <f t="shared" si="53"/>
        <v>0</v>
      </c>
      <c r="AG291" s="230">
        <f t="shared" si="54"/>
        <v>0</v>
      </c>
    </row>
    <row r="292" spans="1:33">
      <c r="A292" t="str">
        <f>IF(ABS(H292)&gt;0,基础信息!$B$1,"")</f>
        <v/>
      </c>
      <c r="S292" s="229">
        <f t="shared" si="46"/>
        <v>0</v>
      </c>
      <c r="Z292" s="230">
        <f t="shared" si="47"/>
        <v>0</v>
      </c>
      <c r="AA292" s="230">
        <f t="shared" si="48"/>
        <v>0</v>
      </c>
      <c r="AB292" s="230">
        <f t="shared" si="49"/>
        <v>0</v>
      </c>
      <c r="AC292" s="230">
        <f t="shared" si="50"/>
        <v>0</v>
      </c>
      <c r="AD292" s="230">
        <f t="shared" si="51"/>
        <v>0</v>
      </c>
      <c r="AE292" s="230">
        <f t="shared" si="52"/>
        <v>0</v>
      </c>
      <c r="AF292" s="230">
        <f t="shared" si="53"/>
        <v>0</v>
      </c>
      <c r="AG292" s="230">
        <f t="shared" si="54"/>
        <v>0</v>
      </c>
    </row>
    <row r="293" spans="1:33">
      <c r="A293" t="str">
        <f>IF(ABS(H293)&gt;0,基础信息!$B$1,"")</f>
        <v/>
      </c>
      <c r="S293" s="229">
        <f t="shared" si="46"/>
        <v>0</v>
      </c>
      <c r="Z293" s="230">
        <f t="shared" si="47"/>
        <v>0</v>
      </c>
      <c r="AA293" s="230">
        <f t="shared" si="48"/>
        <v>0</v>
      </c>
      <c r="AB293" s="230">
        <f t="shared" si="49"/>
        <v>0</v>
      </c>
      <c r="AC293" s="230">
        <f t="shared" si="50"/>
        <v>0</v>
      </c>
      <c r="AD293" s="230">
        <f t="shared" si="51"/>
        <v>0</v>
      </c>
      <c r="AE293" s="230">
        <f t="shared" si="52"/>
        <v>0</v>
      </c>
      <c r="AF293" s="230">
        <f t="shared" si="53"/>
        <v>0</v>
      </c>
      <c r="AG293" s="230">
        <f t="shared" si="54"/>
        <v>0</v>
      </c>
    </row>
    <row r="294" spans="1:33">
      <c r="A294" t="str">
        <f>IF(ABS(H294)&gt;0,基础信息!$B$1,"")</f>
        <v/>
      </c>
      <c r="S294" s="229">
        <f t="shared" si="46"/>
        <v>0</v>
      </c>
      <c r="Z294" s="230">
        <f t="shared" si="47"/>
        <v>0</v>
      </c>
      <c r="AA294" s="230">
        <f t="shared" si="48"/>
        <v>0</v>
      </c>
      <c r="AB294" s="230">
        <f t="shared" si="49"/>
        <v>0</v>
      </c>
      <c r="AC294" s="230">
        <f t="shared" si="50"/>
        <v>0</v>
      </c>
      <c r="AD294" s="230">
        <f t="shared" si="51"/>
        <v>0</v>
      </c>
      <c r="AE294" s="230">
        <f t="shared" si="52"/>
        <v>0</v>
      </c>
      <c r="AF294" s="230">
        <f t="shared" si="53"/>
        <v>0</v>
      </c>
      <c r="AG294" s="230">
        <f t="shared" si="54"/>
        <v>0</v>
      </c>
    </row>
    <row r="295" spans="1:33">
      <c r="A295" t="str">
        <f>IF(ABS(H295)&gt;0,基础信息!$B$1,"")</f>
        <v/>
      </c>
      <c r="S295" s="229">
        <f t="shared" si="46"/>
        <v>0</v>
      </c>
      <c r="Z295" s="230">
        <f t="shared" si="47"/>
        <v>0</v>
      </c>
      <c r="AA295" s="230">
        <f t="shared" si="48"/>
        <v>0</v>
      </c>
      <c r="AB295" s="230">
        <f t="shared" si="49"/>
        <v>0</v>
      </c>
      <c r="AC295" s="230">
        <f t="shared" si="50"/>
        <v>0</v>
      </c>
      <c r="AD295" s="230">
        <f t="shared" si="51"/>
        <v>0</v>
      </c>
      <c r="AE295" s="230">
        <f t="shared" si="52"/>
        <v>0</v>
      </c>
      <c r="AF295" s="230">
        <f t="shared" si="53"/>
        <v>0</v>
      </c>
      <c r="AG295" s="230">
        <f t="shared" si="54"/>
        <v>0</v>
      </c>
    </row>
    <row r="296" spans="1:33">
      <c r="A296" t="str">
        <f>IF(ABS(H296)&gt;0,基础信息!$B$1,"")</f>
        <v/>
      </c>
      <c r="S296" s="229">
        <f t="shared" si="46"/>
        <v>0</v>
      </c>
      <c r="Z296" s="230">
        <f t="shared" si="47"/>
        <v>0</v>
      </c>
      <c r="AA296" s="230">
        <f t="shared" si="48"/>
        <v>0</v>
      </c>
      <c r="AB296" s="230">
        <f t="shared" si="49"/>
        <v>0</v>
      </c>
      <c r="AC296" s="230">
        <f t="shared" si="50"/>
        <v>0</v>
      </c>
      <c r="AD296" s="230">
        <f t="shared" si="51"/>
        <v>0</v>
      </c>
      <c r="AE296" s="230">
        <f t="shared" si="52"/>
        <v>0</v>
      </c>
      <c r="AF296" s="230">
        <f t="shared" si="53"/>
        <v>0</v>
      </c>
      <c r="AG296" s="230">
        <f t="shared" si="54"/>
        <v>0</v>
      </c>
    </row>
    <row r="297" spans="1:33">
      <c r="A297" t="str">
        <f>IF(ABS(H297)&gt;0,基础信息!$B$1,"")</f>
        <v/>
      </c>
      <c r="S297" s="229">
        <f t="shared" si="46"/>
        <v>0</v>
      </c>
      <c r="Z297" s="230">
        <f t="shared" si="47"/>
        <v>0</v>
      </c>
      <c r="AA297" s="230">
        <f t="shared" si="48"/>
        <v>0</v>
      </c>
      <c r="AB297" s="230">
        <f t="shared" si="49"/>
        <v>0</v>
      </c>
      <c r="AC297" s="230">
        <f t="shared" si="50"/>
        <v>0</v>
      </c>
      <c r="AD297" s="230">
        <f t="shared" si="51"/>
        <v>0</v>
      </c>
      <c r="AE297" s="230">
        <f t="shared" si="52"/>
        <v>0</v>
      </c>
      <c r="AF297" s="230">
        <f t="shared" si="53"/>
        <v>0</v>
      </c>
      <c r="AG297" s="230">
        <f t="shared" si="54"/>
        <v>0</v>
      </c>
    </row>
    <row r="298" spans="1:33">
      <c r="A298" t="str">
        <f>IF(ABS(H298)&gt;0,基础信息!$B$1,"")</f>
        <v/>
      </c>
      <c r="S298" s="229">
        <f t="shared" si="46"/>
        <v>0</v>
      </c>
      <c r="Z298" s="230">
        <f t="shared" si="47"/>
        <v>0</v>
      </c>
      <c r="AA298" s="230">
        <f t="shared" si="48"/>
        <v>0</v>
      </c>
      <c r="AB298" s="230">
        <f t="shared" si="49"/>
        <v>0</v>
      </c>
      <c r="AC298" s="230">
        <f t="shared" si="50"/>
        <v>0</v>
      </c>
      <c r="AD298" s="230">
        <f t="shared" si="51"/>
        <v>0</v>
      </c>
      <c r="AE298" s="230">
        <f t="shared" si="52"/>
        <v>0</v>
      </c>
      <c r="AF298" s="230">
        <f t="shared" si="53"/>
        <v>0</v>
      </c>
      <c r="AG298" s="230">
        <f t="shared" si="54"/>
        <v>0</v>
      </c>
    </row>
    <row r="299" spans="1:33">
      <c r="A299" t="str">
        <f>IF(ABS(H299)&gt;0,基础信息!$B$1,"")</f>
        <v/>
      </c>
      <c r="S299" s="229">
        <f t="shared" si="46"/>
        <v>0</v>
      </c>
      <c r="Z299" s="230">
        <f t="shared" si="47"/>
        <v>0</v>
      </c>
      <c r="AA299" s="230">
        <f t="shared" si="48"/>
        <v>0</v>
      </c>
      <c r="AB299" s="230">
        <f t="shared" si="49"/>
        <v>0</v>
      </c>
      <c r="AC299" s="230">
        <f t="shared" si="50"/>
        <v>0</v>
      </c>
      <c r="AD299" s="230">
        <f t="shared" si="51"/>
        <v>0</v>
      </c>
      <c r="AE299" s="230">
        <f t="shared" si="52"/>
        <v>0</v>
      </c>
      <c r="AF299" s="230">
        <f t="shared" si="53"/>
        <v>0</v>
      </c>
      <c r="AG299" s="230">
        <f t="shared" si="54"/>
        <v>0</v>
      </c>
    </row>
    <row r="300" spans="1:33">
      <c r="A300" t="str">
        <f>IF(ABS(H300)&gt;0,基础信息!$B$1,"")</f>
        <v/>
      </c>
      <c r="S300" s="229">
        <f t="shared" si="46"/>
        <v>0</v>
      </c>
      <c r="Z300" s="230">
        <f t="shared" si="47"/>
        <v>0</v>
      </c>
      <c r="AA300" s="230">
        <f t="shared" si="48"/>
        <v>0</v>
      </c>
      <c r="AB300" s="230">
        <f t="shared" si="49"/>
        <v>0</v>
      </c>
      <c r="AC300" s="230">
        <f t="shared" si="50"/>
        <v>0</v>
      </c>
      <c r="AD300" s="230">
        <f t="shared" si="51"/>
        <v>0</v>
      </c>
      <c r="AE300" s="230">
        <f t="shared" si="52"/>
        <v>0</v>
      </c>
      <c r="AF300" s="230">
        <f t="shared" si="53"/>
        <v>0</v>
      </c>
      <c r="AG300" s="230">
        <f t="shared" si="54"/>
        <v>0</v>
      </c>
    </row>
    <row r="301" spans="1:33">
      <c r="A301" t="str">
        <f>IF(ABS(H301)&gt;0,基础信息!$B$1,"")</f>
        <v/>
      </c>
      <c r="S301" s="229">
        <f t="shared" si="46"/>
        <v>0</v>
      </c>
      <c r="Z301" s="230">
        <f t="shared" si="47"/>
        <v>0</v>
      </c>
      <c r="AA301" s="230">
        <f t="shared" si="48"/>
        <v>0</v>
      </c>
      <c r="AB301" s="230">
        <f t="shared" si="49"/>
        <v>0</v>
      </c>
      <c r="AC301" s="230">
        <f t="shared" si="50"/>
        <v>0</v>
      </c>
      <c r="AD301" s="230">
        <f t="shared" si="51"/>
        <v>0</v>
      </c>
      <c r="AE301" s="230">
        <f t="shared" si="52"/>
        <v>0</v>
      </c>
      <c r="AF301" s="230">
        <f t="shared" si="53"/>
        <v>0</v>
      </c>
      <c r="AG301" s="230">
        <f t="shared" si="54"/>
        <v>0</v>
      </c>
    </row>
    <row r="302" spans="1:33">
      <c r="A302" t="str">
        <f>IF(ABS(H302)&gt;0,基础信息!$B$1,"")</f>
        <v/>
      </c>
      <c r="S302" s="229">
        <f t="shared" si="46"/>
        <v>0</v>
      </c>
      <c r="Z302" s="230">
        <f t="shared" si="47"/>
        <v>0</v>
      </c>
      <c r="AA302" s="230">
        <f t="shared" si="48"/>
        <v>0</v>
      </c>
      <c r="AB302" s="230">
        <f t="shared" si="49"/>
        <v>0</v>
      </c>
      <c r="AC302" s="230">
        <f t="shared" si="50"/>
        <v>0</v>
      </c>
      <c r="AD302" s="230">
        <f t="shared" si="51"/>
        <v>0</v>
      </c>
      <c r="AE302" s="230">
        <f t="shared" si="52"/>
        <v>0</v>
      </c>
      <c r="AF302" s="230">
        <f t="shared" si="53"/>
        <v>0</v>
      </c>
      <c r="AG302" s="230">
        <f t="shared" si="54"/>
        <v>0</v>
      </c>
    </row>
    <row r="303" spans="1:33">
      <c r="A303" t="str">
        <f>IF(ABS(H303)&gt;0,基础信息!$B$1,"")</f>
        <v/>
      </c>
      <c r="S303" s="229">
        <f t="shared" si="46"/>
        <v>0</v>
      </c>
      <c r="Z303" s="230">
        <f t="shared" si="47"/>
        <v>0</v>
      </c>
      <c r="AA303" s="230">
        <f t="shared" si="48"/>
        <v>0</v>
      </c>
      <c r="AB303" s="230">
        <f t="shared" si="49"/>
        <v>0</v>
      </c>
      <c r="AC303" s="230">
        <f t="shared" si="50"/>
        <v>0</v>
      </c>
      <c r="AD303" s="230">
        <f t="shared" si="51"/>
        <v>0</v>
      </c>
      <c r="AE303" s="230">
        <f t="shared" si="52"/>
        <v>0</v>
      </c>
      <c r="AF303" s="230">
        <f t="shared" si="53"/>
        <v>0</v>
      </c>
      <c r="AG303" s="230">
        <f t="shared" si="54"/>
        <v>0</v>
      </c>
    </row>
    <row r="304" spans="1:33">
      <c r="A304" t="str">
        <f>IF(ABS(H304)&gt;0,基础信息!$B$1,"")</f>
        <v/>
      </c>
      <c r="S304" s="229">
        <f t="shared" si="46"/>
        <v>0</v>
      </c>
      <c r="Z304" s="230">
        <f t="shared" si="47"/>
        <v>0</v>
      </c>
      <c r="AA304" s="230">
        <f t="shared" si="48"/>
        <v>0</v>
      </c>
      <c r="AB304" s="230">
        <f t="shared" si="49"/>
        <v>0</v>
      </c>
      <c r="AC304" s="230">
        <f t="shared" si="50"/>
        <v>0</v>
      </c>
      <c r="AD304" s="230">
        <f t="shared" si="51"/>
        <v>0</v>
      </c>
      <c r="AE304" s="230">
        <f t="shared" si="52"/>
        <v>0</v>
      </c>
      <c r="AF304" s="230">
        <f t="shared" si="53"/>
        <v>0</v>
      </c>
      <c r="AG304" s="230">
        <f t="shared" si="54"/>
        <v>0</v>
      </c>
    </row>
    <row r="305" spans="1:33">
      <c r="A305" t="str">
        <f>IF(ABS(H305)&gt;0,基础信息!$B$1,"")</f>
        <v/>
      </c>
      <c r="S305" s="229">
        <f t="shared" si="46"/>
        <v>0</v>
      </c>
      <c r="Z305" s="230">
        <f t="shared" si="47"/>
        <v>0</v>
      </c>
      <c r="AA305" s="230">
        <f t="shared" si="48"/>
        <v>0</v>
      </c>
      <c r="AB305" s="230">
        <f t="shared" si="49"/>
        <v>0</v>
      </c>
      <c r="AC305" s="230">
        <f t="shared" si="50"/>
        <v>0</v>
      </c>
      <c r="AD305" s="230">
        <f t="shared" si="51"/>
        <v>0</v>
      </c>
      <c r="AE305" s="230">
        <f t="shared" si="52"/>
        <v>0</v>
      </c>
      <c r="AF305" s="230">
        <f t="shared" si="53"/>
        <v>0</v>
      </c>
      <c r="AG305" s="230">
        <f t="shared" si="54"/>
        <v>0</v>
      </c>
    </row>
    <row r="306" spans="1:33">
      <c r="A306" t="str">
        <f>IF(ABS(H306)&gt;0,基础信息!$B$1,"")</f>
        <v/>
      </c>
      <c r="S306" s="229">
        <f t="shared" si="46"/>
        <v>0</v>
      </c>
      <c r="Z306" s="230">
        <f t="shared" si="47"/>
        <v>0</v>
      </c>
      <c r="AA306" s="230">
        <f t="shared" si="48"/>
        <v>0</v>
      </c>
      <c r="AB306" s="230">
        <f t="shared" si="49"/>
        <v>0</v>
      </c>
      <c r="AC306" s="230">
        <f t="shared" si="50"/>
        <v>0</v>
      </c>
      <c r="AD306" s="230">
        <f t="shared" si="51"/>
        <v>0</v>
      </c>
      <c r="AE306" s="230">
        <f t="shared" si="52"/>
        <v>0</v>
      </c>
      <c r="AF306" s="230">
        <f t="shared" si="53"/>
        <v>0</v>
      </c>
      <c r="AG306" s="230">
        <f t="shared" si="54"/>
        <v>0</v>
      </c>
    </row>
    <row r="307" spans="1:33">
      <c r="A307" t="str">
        <f>IF(ABS(H307)&gt;0,基础信息!$B$1,"")</f>
        <v/>
      </c>
      <c r="S307" s="229">
        <f t="shared" si="46"/>
        <v>0</v>
      </c>
      <c r="Z307" s="230">
        <f t="shared" si="47"/>
        <v>0</v>
      </c>
      <c r="AA307" s="230">
        <f t="shared" si="48"/>
        <v>0</v>
      </c>
      <c r="AB307" s="230">
        <f t="shared" si="49"/>
        <v>0</v>
      </c>
      <c r="AC307" s="230">
        <f t="shared" si="50"/>
        <v>0</v>
      </c>
      <c r="AD307" s="230">
        <f t="shared" si="51"/>
        <v>0</v>
      </c>
      <c r="AE307" s="230">
        <f t="shared" si="52"/>
        <v>0</v>
      </c>
      <c r="AF307" s="230">
        <f t="shared" si="53"/>
        <v>0</v>
      </c>
      <c r="AG307" s="230">
        <f t="shared" si="54"/>
        <v>0</v>
      </c>
    </row>
    <row r="308" spans="1:33">
      <c r="A308" t="str">
        <f>IF(ABS(H308)&gt;0,基础信息!$B$1,"")</f>
        <v/>
      </c>
      <c r="S308" s="229">
        <f t="shared" si="46"/>
        <v>0</v>
      </c>
      <c r="Z308" s="230">
        <f t="shared" si="47"/>
        <v>0</v>
      </c>
      <c r="AA308" s="230">
        <f t="shared" si="48"/>
        <v>0</v>
      </c>
      <c r="AB308" s="230">
        <f t="shared" si="49"/>
        <v>0</v>
      </c>
      <c r="AC308" s="230">
        <f t="shared" si="50"/>
        <v>0</v>
      </c>
      <c r="AD308" s="230">
        <f t="shared" si="51"/>
        <v>0</v>
      </c>
      <c r="AE308" s="230">
        <f t="shared" si="52"/>
        <v>0</v>
      </c>
      <c r="AF308" s="230">
        <f t="shared" si="53"/>
        <v>0</v>
      </c>
      <c r="AG308" s="230">
        <f t="shared" si="54"/>
        <v>0</v>
      </c>
    </row>
    <row r="309" spans="1:33">
      <c r="A309" t="str">
        <f>IF(ABS(H309)&gt;0,基础信息!$B$1,"")</f>
        <v/>
      </c>
      <c r="S309" s="229">
        <f t="shared" si="46"/>
        <v>0</v>
      </c>
      <c r="Z309" s="230">
        <f t="shared" si="47"/>
        <v>0</v>
      </c>
      <c r="AA309" s="230">
        <f t="shared" si="48"/>
        <v>0</v>
      </c>
      <c r="AB309" s="230">
        <f t="shared" si="49"/>
        <v>0</v>
      </c>
      <c r="AC309" s="230">
        <f t="shared" si="50"/>
        <v>0</v>
      </c>
      <c r="AD309" s="230">
        <f t="shared" si="51"/>
        <v>0</v>
      </c>
      <c r="AE309" s="230">
        <f t="shared" si="52"/>
        <v>0</v>
      </c>
      <c r="AF309" s="230">
        <f t="shared" si="53"/>
        <v>0</v>
      </c>
      <c r="AG309" s="230">
        <f t="shared" si="54"/>
        <v>0</v>
      </c>
    </row>
    <row r="310" spans="1:33">
      <c r="A310" t="str">
        <f>IF(ABS(H310)&gt;0,基础信息!$B$1,"")</f>
        <v/>
      </c>
      <c r="S310" s="229">
        <f t="shared" si="46"/>
        <v>0</v>
      </c>
      <c r="Z310" s="230">
        <f t="shared" si="47"/>
        <v>0</v>
      </c>
      <c r="AA310" s="230">
        <f t="shared" si="48"/>
        <v>0</v>
      </c>
      <c r="AB310" s="230">
        <f t="shared" si="49"/>
        <v>0</v>
      </c>
      <c r="AC310" s="230">
        <f t="shared" si="50"/>
        <v>0</v>
      </c>
      <c r="AD310" s="230">
        <f t="shared" si="51"/>
        <v>0</v>
      </c>
      <c r="AE310" s="230">
        <f t="shared" si="52"/>
        <v>0</v>
      </c>
      <c r="AF310" s="230">
        <f t="shared" si="53"/>
        <v>0</v>
      </c>
      <c r="AG310" s="230">
        <f t="shared" si="54"/>
        <v>0</v>
      </c>
    </row>
    <row r="311" spans="1:33">
      <c r="A311" t="str">
        <f>IF(ABS(H311)&gt;0,基础信息!$B$1,"")</f>
        <v/>
      </c>
      <c r="S311" s="229">
        <f t="shared" si="46"/>
        <v>0</v>
      </c>
      <c r="Z311" s="230">
        <f t="shared" si="47"/>
        <v>0</v>
      </c>
      <c r="AA311" s="230">
        <f t="shared" si="48"/>
        <v>0</v>
      </c>
      <c r="AB311" s="230">
        <f t="shared" si="49"/>
        <v>0</v>
      </c>
      <c r="AC311" s="230">
        <f t="shared" si="50"/>
        <v>0</v>
      </c>
      <c r="AD311" s="230">
        <f t="shared" si="51"/>
        <v>0</v>
      </c>
      <c r="AE311" s="230">
        <f t="shared" si="52"/>
        <v>0</v>
      </c>
      <c r="AF311" s="230">
        <f t="shared" si="53"/>
        <v>0</v>
      </c>
      <c r="AG311" s="230">
        <f t="shared" si="54"/>
        <v>0</v>
      </c>
    </row>
    <row r="312" spans="1:33">
      <c r="A312" t="str">
        <f>IF(ABS(H312)&gt;0,基础信息!$B$1,"")</f>
        <v/>
      </c>
      <c r="S312" s="229">
        <f t="shared" si="46"/>
        <v>0</v>
      </c>
      <c r="Z312" s="230">
        <f t="shared" si="47"/>
        <v>0</v>
      </c>
      <c r="AA312" s="230">
        <f t="shared" si="48"/>
        <v>0</v>
      </c>
      <c r="AB312" s="230">
        <f t="shared" si="49"/>
        <v>0</v>
      </c>
      <c r="AC312" s="230">
        <f t="shared" si="50"/>
        <v>0</v>
      </c>
      <c r="AD312" s="230">
        <f t="shared" si="51"/>
        <v>0</v>
      </c>
      <c r="AE312" s="230">
        <f t="shared" si="52"/>
        <v>0</v>
      </c>
      <c r="AF312" s="230">
        <f t="shared" si="53"/>
        <v>0</v>
      </c>
      <c r="AG312" s="230">
        <f t="shared" si="54"/>
        <v>0</v>
      </c>
    </row>
    <row r="313" spans="1:33">
      <c r="A313" t="str">
        <f>IF(ABS(H313)&gt;0,基础信息!$B$1,"")</f>
        <v/>
      </c>
      <c r="S313" s="229">
        <f t="shared" si="46"/>
        <v>0</v>
      </c>
      <c r="Z313" s="230">
        <f t="shared" si="47"/>
        <v>0</v>
      </c>
      <c r="AA313" s="230">
        <f t="shared" si="48"/>
        <v>0</v>
      </c>
      <c r="AB313" s="230">
        <f t="shared" si="49"/>
        <v>0</v>
      </c>
      <c r="AC313" s="230">
        <f t="shared" si="50"/>
        <v>0</v>
      </c>
      <c r="AD313" s="230">
        <f t="shared" si="51"/>
        <v>0</v>
      </c>
      <c r="AE313" s="230">
        <f t="shared" si="52"/>
        <v>0</v>
      </c>
      <c r="AF313" s="230">
        <f t="shared" si="53"/>
        <v>0</v>
      </c>
      <c r="AG313" s="230">
        <f t="shared" si="54"/>
        <v>0</v>
      </c>
    </row>
    <row r="314" spans="1:33">
      <c r="A314" t="str">
        <f>IF(ABS(H314)&gt;0,基础信息!$B$1,"")</f>
        <v/>
      </c>
      <c r="S314" s="229">
        <f t="shared" si="46"/>
        <v>0</v>
      </c>
      <c r="Z314" s="230">
        <f t="shared" si="47"/>
        <v>0</v>
      </c>
      <c r="AA314" s="230">
        <f t="shared" si="48"/>
        <v>0</v>
      </c>
      <c r="AB314" s="230">
        <f t="shared" si="49"/>
        <v>0</v>
      </c>
      <c r="AC314" s="230">
        <f t="shared" si="50"/>
        <v>0</v>
      </c>
      <c r="AD314" s="230">
        <f t="shared" si="51"/>
        <v>0</v>
      </c>
      <c r="AE314" s="230">
        <f t="shared" si="52"/>
        <v>0</v>
      </c>
      <c r="AF314" s="230">
        <f t="shared" si="53"/>
        <v>0</v>
      </c>
      <c r="AG314" s="230">
        <f t="shared" si="54"/>
        <v>0</v>
      </c>
    </row>
    <row r="315" spans="1:33">
      <c r="A315" t="str">
        <f>IF(ABS(H315)&gt;0,基础信息!$B$1,"")</f>
        <v/>
      </c>
      <c r="S315" s="229">
        <f t="shared" si="46"/>
        <v>0</v>
      </c>
      <c r="Z315" s="230">
        <f t="shared" si="47"/>
        <v>0</v>
      </c>
      <c r="AA315" s="230">
        <f t="shared" si="48"/>
        <v>0</v>
      </c>
      <c r="AB315" s="230">
        <f t="shared" si="49"/>
        <v>0</v>
      </c>
      <c r="AC315" s="230">
        <f t="shared" si="50"/>
        <v>0</v>
      </c>
      <c r="AD315" s="230">
        <f t="shared" si="51"/>
        <v>0</v>
      </c>
      <c r="AE315" s="230">
        <f t="shared" si="52"/>
        <v>0</v>
      </c>
      <c r="AF315" s="230">
        <f t="shared" si="53"/>
        <v>0</v>
      </c>
      <c r="AG315" s="230">
        <f t="shared" si="54"/>
        <v>0</v>
      </c>
    </row>
    <row r="316" spans="1:33">
      <c r="A316" t="str">
        <f>IF(ABS(H316)&gt;0,基础信息!$B$1,"")</f>
        <v/>
      </c>
      <c r="S316" s="229">
        <f t="shared" si="46"/>
        <v>0</v>
      </c>
      <c r="Z316" s="230">
        <f t="shared" si="47"/>
        <v>0</v>
      </c>
      <c r="AA316" s="230">
        <f t="shared" si="48"/>
        <v>0</v>
      </c>
      <c r="AB316" s="230">
        <f t="shared" si="49"/>
        <v>0</v>
      </c>
      <c r="AC316" s="230">
        <f t="shared" si="50"/>
        <v>0</v>
      </c>
      <c r="AD316" s="230">
        <f t="shared" si="51"/>
        <v>0</v>
      </c>
      <c r="AE316" s="230">
        <f t="shared" si="52"/>
        <v>0</v>
      </c>
      <c r="AF316" s="230">
        <f t="shared" si="53"/>
        <v>0</v>
      </c>
      <c r="AG316" s="230">
        <f t="shared" si="54"/>
        <v>0</v>
      </c>
    </row>
    <row r="317" spans="1:33">
      <c r="A317" t="str">
        <f>IF(ABS(H317)&gt;0,基础信息!$B$1,"")</f>
        <v/>
      </c>
      <c r="S317" s="229">
        <f t="shared" si="46"/>
        <v>0</v>
      </c>
      <c r="Z317" s="230">
        <f t="shared" si="47"/>
        <v>0</v>
      </c>
      <c r="AA317" s="230">
        <f t="shared" si="48"/>
        <v>0</v>
      </c>
      <c r="AB317" s="230">
        <f t="shared" si="49"/>
        <v>0</v>
      </c>
      <c r="AC317" s="230">
        <f t="shared" si="50"/>
        <v>0</v>
      </c>
      <c r="AD317" s="230">
        <f t="shared" si="51"/>
        <v>0</v>
      </c>
      <c r="AE317" s="230">
        <f t="shared" si="52"/>
        <v>0</v>
      </c>
      <c r="AF317" s="230">
        <f t="shared" si="53"/>
        <v>0</v>
      </c>
      <c r="AG317" s="230">
        <f t="shared" si="54"/>
        <v>0</v>
      </c>
    </row>
    <row r="318" spans="1:33">
      <c r="A318" t="str">
        <f>IF(ABS(H318)&gt;0,基础信息!$B$1,"")</f>
        <v/>
      </c>
      <c r="S318" s="229">
        <f t="shared" si="46"/>
        <v>0</v>
      </c>
      <c r="Z318" s="230">
        <f t="shared" si="47"/>
        <v>0</v>
      </c>
      <c r="AA318" s="230">
        <f t="shared" si="48"/>
        <v>0</v>
      </c>
      <c r="AB318" s="230">
        <f t="shared" si="49"/>
        <v>0</v>
      </c>
      <c r="AC318" s="230">
        <f t="shared" si="50"/>
        <v>0</v>
      </c>
      <c r="AD318" s="230">
        <f t="shared" si="51"/>
        <v>0</v>
      </c>
      <c r="AE318" s="230">
        <f t="shared" si="52"/>
        <v>0</v>
      </c>
      <c r="AF318" s="230">
        <f t="shared" si="53"/>
        <v>0</v>
      </c>
      <c r="AG318" s="230">
        <f t="shared" si="54"/>
        <v>0</v>
      </c>
    </row>
    <row r="319" spans="1:33">
      <c r="A319" t="str">
        <f>IF(ABS(H319)&gt;0,基础信息!$B$1,"")</f>
        <v/>
      </c>
      <c r="S319" s="229">
        <f t="shared" si="46"/>
        <v>0</v>
      </c>
      <c r="Z319" s="230">
        <f t="shared" si="47"/>
        <v>0</v>
      </c>
      <c r="AA319" s="230">
        <f t="shared" si="48"/>
        <v>0</v>
      </c>
      <c r="AB319" s="230">
        <f t="shared" si="49"/>
        <v>0</v>
      </c>
      <c r="AC319" s="230">
        <f t="shared" si="50"/>
        <v>0</v>
      </c>
      <c r="AD319" s="230">
        <f t="shared" si="51"/>
        <v>0</v>
      </c>
      <c r="AE319" s="230">
        <f t="shared" si="52"/>
        <v>0</v>
      </c>
      <c r="AF319" s="230">
        <f t="shared" si="53"/>
        <v>0</v>
      </c>
      <c r="AG319" s="230">
        <f t="shared" si="54"/>
        <v>0</v>
      </c>
    </row>
    <row r="320" spans="1:33">
      <c r="A320" t="str">
        <f>IF(ABS(H320)&gt;0,基础信息!$B$1,"")</f>
        <v/>
      </c>
      <c r="S320" s="229">
        <f t="shared" si="46"/>
        <v>0</v>
      </c>
      <c r="Z320" s="230">
        <f t="shared" si="47"/>
        <v>0</v>
      </c>
      <c r="AA320" s="230">
        <f t="shared" si="48"/>
        <v>0</v>
      </c>
      <c r="AB320" s="230">
        <f t="shared" si="49"/>
        <v>0</v>
      </c>
      <c r="AC320" s="230">
        <f t="shared" si="50"/>
        <v>0</v>
      </c>
      <c r="AD320" s="230">
        <f t="shared" si="51"/>
        <v>0</v>
      </c>
      <c r="AE320" s="230">
        <f t="shared" si="52"/>
        <v>0</v>
      </c>
      <c r="AF320" s="230">
        <f t="shared" si="53"/>
        <v>0</v>
      </c>
      <c r="AG320" s="230">
        <f t="shared" si="54"/>
        <v>0</v>
      </c>
    </row>
    <row r="321" spans="1:33">
      <c r="A321" t="str">
        <f>IF(ABS(H321)&gt;0,基础信息!$B$1,"")</f>
        <v/>
      </c>
      <c r="S321" s="229">
        <f t="shared" si="46"/>
        <v>0</v>
      </c>
      <c r="Z321" s="230">
        <f t="shared" si="47"/>
        <v>0</v>
      </c>
      <c r="AA321" s="230">
        <f t="shared" si="48"/>
        <v>0</v>
      </c>
      <c r="AB321" s="230">
        <f t="shared" si="49"/>
        <v>0</v>
      </c>
      <c r="AC321" s="230">
        <f t="shared" si="50"/>
        <v>0</v>
      </c>
      <c r="AD321" s="230">
        <f t="shared" si="51"/>
        <v>0</v>
      </c>
      <c r="AE321" s="230">
        <f t="shared" si="52"/>
        <v>0</v>
      </c>
      <c r="AF321" s="230">
        <f t="shared" si="53"/>
        <v>0</v>
      </c>
      <c r="AG321" s="230">
        <f t="shared" si="54"/>
        <v>0</v>
      </c>
    </row>
    <row r="322" spans="1:33">
      <c r="A322" t="str">
        <f>IF(ABS(H322)&gt;0,基础信息!$B$1,"")</f>
        <v/>
      </c>
      <c r="S322" s="229">
        <f t="shared" si="46"/>
        <v>0</v>
      </c>
      <c r="Z322" s="230">
        <f t="shared" si="47"/>
        <v>0</v>
      </c>
      <c r="AA322" s="230">
        <f t="shared" si="48"/>
        <v>0</v>
      </c>
      <c r="AB322" s="230">
        <f t="shared" si="49"/>
        <v>0</v>
      </c>
      <c r="AC322" s="230">
        <f t="shared" si="50"/>
        <v>0</v>
      </c>
      <c r="AD322" s="230">
        <f t="shared" si="51"/>
        <v>0</v>
      </c>
      <c r="AE322" s="230">
        <f t="shared" si="52"/>
        <v>0</v>
      </c>
      <c r="AF322" s="230">
        <f t="shared" si="53"/>
        <v>0</v>
      </c>
      <c r="AG322" s="230">
        <f t="shared" si="54"/>
        <v>0</v>
      </c>
    </row>
    <row r="323" spans="1:33">
      <c r="A323" t="str">
        <f>IF(ABS(H323)&gt;0,基础信息!$B$1,"")</f>
        <v/>
      </c>
      <c r="S323" s="229">
        <f t="shared" si="46"/>
        <v>0</v>
      </c>
      <c r="Z323" s="230">
        <f t="shared" si="47"/>
        <v>0</v>
      </c>
      <c r="AA323" s="230">
        <f t="shared" si="48"/>
        <v>0</v>
      </c>
      <c r="AB323" s="230">
        <f t="shared" si="49"/>
        <v>0</v>
      </c>
      <c r="AC323" s="230">
        <f t="shared" si="50"/>
        <v>0</v>
      </c>
      <c r="AD323" s="230">
        <f t="shared" si="51"/>
        <v>0</v>
      </c>
      <c r="AE323" s="230">
        <f t="shared" si="52"/>
        <v>0</v>
      </c>
      <c r="AF323" s="230">
        <f t="shared" si="53"/>
        <v>0</v>
      </c>
      <c r="AG323" s="230">
        <f t="shared" si="54"/>
        <v>0</v>
      </c>
    </row>
    <row r="324" spans="1:33">
      <c r="A324" t="str">
        <f>IF(ABS(H324)&gt;0,基础信息!$B$1,"")</f>
        <v/>
      </c>
      <c r="S324" s="229">
        <f t="shared" si="46"/>
        <v>0</v>
      </c>
      <c r="Z324" s="230">
        <f t="shared" si="47"/>
        <v>0</v>
      </c>
      <c r="AA324" s="230">
        <f t="shared" si="48"/>
        <v>0</v>
      </c>
      <c r="AB324" s="230">
        <f t="shared" si="49"/>
        <v>0</v>
      </c>
      <c r="AC324" s="230">
        <f t="shared" si="50"/>
        <v>0</v>
      </c>
      <c r="AD324" s="230">
        <f t="shared" si="51"/>
        <v>0</v>
      </c>
      <c r="AE324" s="230">
        <f t="shared" si="52"/>
        <v>0</v>
      </c>
      <c r="AF324" s="230">
        <f t="shared" si="53"/>
        <v>0</v>
      </c>
      <c r="AG324" s="230">
        <f t="shared" si="54"/>
        <v>0</v>
      </c>
    </row>
    <row r="325" spans="1:33">
      <c r="A325" t="str">
        <f>IF(ABS(H325)&gt;0,基础信息!$B$1,"")</f>
        <v/>
      </c>
      <c r="S325" s="229">
        <f t="shared" si="46"/>
        <v>0</v>
      </c>
      <c r="Z325" s="230">
        <f t="shared" si="47"/>
        <v>0</v>
      </c>
      <c r="AA325" s="230">
        <f t="shared" si="48"/>
        <v>0</v>
      </c>
      <c r="AB325" s="230">
        <f t="shared" si="49"/>
        <v>0</v>
      </c>
      <c r="AC325" s="230">
        <f t="shared" si="50"/>
        <v>0</v>
      </c>
      <c r="AD325" s="230">
        <f t="shared" si="51"/>
        <v>0</v>
      </c>
      <c r="AE325" s="230">
        <f t="shared" si="52"/>
        <v>0</v>
      </c>
      <c r="AF325" s="230">
        <f t="shared" si="53"/>
        <v>0</v>
      </c>
      <c r="AG325" s="230">
        <f t="shared" si="54"/>
        <v>0</v>
      </c>
    </row>
    <row r="326" spans="1:33">
      <c r="A326" t="str">
        <f>IF(ABS(H326)&gt;0,基础信息!$B$1,"")</f>
        <v/>
      </c>
      <c r="S326" s="229">
        <f t="shared" si="46"/>
        <v>0</v>
      </c>
      <c r="Z326" s="230">
        <f t="shared" si="47"/>
        <v>0</v>
      </c>
      <c r="AA326" s="230">
        <f t="shared" si="48"/>
        <v>0</v>
      </c>
      <c r="AB326" s="230">
        <f t="shared" si="49"/>
        <v>0</v>
      </c>
      <c r="AC326" s="230">
        <f t="shared" si="50"/>
        <v>0</v>
      </c>
      <c r="AD326" s="230">
        <f t="shared" si="51"/>
        <v>0</v>
      </c>
      <c r="AE326" s="230">
        <f t="shared" si="52"/>
        <v>0</v>
      </c>
      <c r="AF326" s="230">
        <f t="shared" si="53"/>
        <v>0</v>
      </c>
      <c r="AG326" s="230">
        <f t="shared" si="54"/>
        <v>0</v>
      </c>
    </row>
    <row r="327" spans="1:33">
      <c r="A327" t="str">
        <f>IF(ABS(H327)&gt;0,基础信息!$B$1,"")</f>
        <v/>
      </c>
      <c r="S327" s="229">
        <f t="shared" si="46"/>
        <v>0</v>
      </c>
      <c r="Z327" s="230">
        <f t="shared" si="47"/>
        <v>0</v>
      </c>
      <c r="AA327" s="230">
        <f t="shared" si="48"/>
        <v>0</v>
      </c>
      <c r="AB327" s="230">
        <f t="shared" si="49"/>
        <v>0</v>
      </c>
      <c r="AC327" s="230">
        <f t="shared" si="50"/>
        <v>0</v>
      </c>
      <c r="AD327" s="230">
        <f t="shared" si="51"/>
        <v>0</v>
      </c>
      <c r="AE327" s="230">
        <f t="shared" si="52"/>
        <v>0</v>
      </c>
      <c r="AF327" s="230">
        <f t="shared" si="53"/>
        <v>0</v>
      </c>
      <c r="AG327" s="230">
        <f t="shared" si="54"/>
        <v>0</v>
      </c>
    </row>
    <row r="328" spans="1:33">
      <c r="A328" t="str">
        <f>IF(ABS(H328)&gt;0,基础信息!$B$1,"")</f>
        <v/>
      </c>
      <c r="S328" s="229">
        <f t="shared" si="46"/>
        <v>0</v>
      </c>
      <c r="Z328" s="230">
        <f t="shared" si="47"/>
        <v>0</v>
      </c>
      <c r="AA328" s="230">
        <f t="shared" si="48"/>
        <v>0</v>
      </c>
      <c r="AB328" s="230">
        <f t="shared" si="49"/>
        <v>0</v>
      </c>
      <c r="AC328" s="230">
        <f t="shared" si="50"/>
        <v>0</v>
      </c>
      <c r="AD328" s="230">
        <f t="shared" si="51"/>
        <v>0</v>
      </c>
      <c r="AE328" s="230">
        <f t="shared" si="52"/>
        <v>0</v>
      </c>
      <c r="AF328" s="230">
        <f t="shared" si="53"/>
        <v>0</v>
      </c>
      <c r="AG328" s="230">
        <f t="shared" si="54"/>
        <v>0</v>
      </c>
    </row>
    <row r="329" spans="1:33">
      <c r="A329" t="str">
        <f>IF(ABS(H329)&gt;0,基础信息!$B$1,"")</f>
        <v/>
      </c>
      <c r="S329" s="229">
        <f t="shared" si="46"/>
        <v>0</v>
      </c>
      <c r="Z329" s="230">
        <f t="shared" si="47"/>
        <v>0</v>
      </c>
      <c r="AA329" s="230">
        <f t="shared" si="48"/>
        <v>0</v>
      </c>
      <c r="AB329" s="230">
        <f t="shared" si="49"/>
        <v>0</v>
      </c>
      <c r="AC329" s="230">
        <f t="shared" si="50"/>
        <v>0</v>
      </c>
      <c r="AD329" s="230">
        <f t="shared" si="51"/>
        <v>0</v>
      </c>
      <c r="AE329" s="230">
        <f t="shared" si="52"/>
        <v>0</v>
      </c>
      <c r="AF329" s="230">
        <f t="shared" si="53"/>
        <v>0</v>
      </c>
      <c r="AG329" s="230">
        <f t="shared" si="54"/>
        <v>0</v>
      </c>
    </row>
    <row r="330" spans="1:33">
      <c r="A330" t="str">
        <f>IF(ABS(H330)&gt;0,基础信息!$B$1,"")</f>
        <v/>
      </c>
      <c r="S330" s="229">
        <f t="shared" si="46"/>
        <v>0</v>
      </c>
      <c r="Z330" s="230">
        <f t="shared" si="47"/>
        <v>0</v>
      </c>
      <c r="AA330" s="230">
        <f t="shared" si="48"/>
        <v>0</v>
      </c>
      <c r="AB330" s="230">
        <f t="shared" si="49"/>
        <v>0</v>
      </c>
      <c r="AC330" s="230">
        <f t="shared" si="50"/>
        <v>0</v>
      </c>
      <c r="AD330" s="230">
        <f t="shared" si="51"/>
        <v>0</v>
      </c>
      <c r="AE330" s="230">
        <f t="shared" si="52"/>
        <v>0</v>
      </c>
      <c r="AF330" s="230">
        <f t="shared" si="53"/>
        <v>0</v>
      </c>
      <c r="AG330" s="230">
        <f t="shared" si="54"/>
        <v>0</v>
      </c>
    </row>
    <row r="331" spans="1:33">
      <c r="A331" t="str">
        <f>IF(ABS(H331)&gt;0,基础信息!$B$1,"")</f>
        <v/>
      </c>
      <c r="S331" s="229">
        <f t="shared" si="46"/>
        <v>0</v>
      </c>
      <c r="Z331" s="230">
        <f t="shared" si="47"/>
        <v>0</v>
      </c>
      <c r="AA331" s="230">
        <f t="shared" si="48"/>
        <v>0</v>
      </c>
      <c r="AB331" s="230">
        <f t="shared" si="49"/>
        <v>0</v>
      </c>
      <c r="AC331" s="230">
        <f t="shared" si="50"/>
        <v>0</v>
      </c>
      <c r="AD331" s="230">
        <f t="shared" si="51"/>
        <v>0</v>
      </c>
      <c r="AE331" s="230">
        <f t="shared" si="52"/>
        <v>0</v>
      </c>
      <c r="AF331" s="230">
        <f t="shared" si="53"/>
        <v>0</v>
      </c>
      <c r="AG331" s="230">
        <f t="shared" si="54"/>
        <v>0</v>
      </c>
    </row>
    <row r="332" spans="1:33">
      <c r="A332" t="str">
        <f>IF(ABS(H332)&gt;0,基础信息!$B$1,"")</f>
        <v/>
      </c>
      <c r="S332" s="229">
        <f t="shared" si="46"/>
        <v>0</v>
      </c>
      <c r="Z332" s="230">
        <f t="shared" si="47"/>
        <v>0</v>
      </c>
      <c r="AA332" s="230">
        <f t="shared" si="48"/>
        <v>0</v>
      </c>
      <c r="AB332" s="230">
        <f t="shared" si="49"/>
        <v>0</v>
      </c>
      <c r="AC332" s="230">
        <f t="shared" si="50"/>
        <v>0</v>
      </c>
      <c r="AD332" s="230">
        <f t="shared" si="51"/>
        <v>0</v>
      </c>
      <c r="AE332" s="230">
        <f t="shared" si="52"/>
        <v>0</v>
      </c>
      <c r="AF332" s="230">
        <f t="shared" si="53"/>
        <v>0</v>
      </c>
      <c r="AG332" s="230">
        <f t="shared" si="54"/>
        <v>0</v>
      </c>
    </row>
    <row r="333" spans="1:33">
      <c r="A333" t="str">
        <f>IF(ABS(H333)&gt;0,基础信息!$B$1,"")</f>
        <v/>
      </c>
      <c r="S333" s="229">
        <f t="shared" si="46"/>
        <v>0</v>
      </c>
      <c r="Z333" s="230">
        <f t="shared" si="47"/>
        <v>0</v>
      </c>
      <c r="AA333" s="230">
        <f t="shared" si="48"/>
        <v>0</v>
      </c>
      <c r="AB333" s="230">
        <f t="shared" si="49"/>
        <v>0</v>
      </c>
      <c r="AC333" s="230">
        <f t="shared" si="50"/>
        <v>0</v>
      </c>
      <c r="AD333" s="230">
        <f t="shared" si="51"/>
        <v>0</v>
      </c>
      <c r="AE333" s="230">
        <f t="shared" si="52"/>
        <v>0</v>
      </c>
      <c r="AF333" s="230">
        <f t="shared" si="53"/>
        <v>0</v>
      </c>
      <c r="AG333" s="230">
        <f t="shared" si="54"/>
        <v>0</v>
      </c>
    </row>
    <row r="334" spans="1:33">
      <c r="A334" t="str">
        <f>IF(ABS(H334)&gt;0,基础信息!$B$1,"")</f>
        <v/>
      </c>
      <c r="S334" s="229">
        <f t="shared" si="46"/>
        <v>0</v>
      </c>
      <c r="Z334" s="230">
        <f t="shared" si="47"/>
        <v>0</v>
      </c>
      <c r="AA334" s="230">
        <f t="shared" si="48"/>
        <v>0</v>
      </c>
      <c r="AB334" s="230">
        <f t="shared" si="49"/>
        <v>0</v>
      </c>
      <c r="AC334" s="230">
        <f t="shared" si="50"/>
        <v>0</v>
      </c>
      <c r="AD334" s="230">
        <f t="shared" si="51"/>
        <v>0</v>
      </c>
      <c r="AE334" s="230">
        <f t="shared" si="52"/>
        <v>0</v>
      </c>
      <c r="AF334" s="230">
        <f t="shared" si="53"/>
        <v>0</v>
      </c>
      <c r="AG334" s="230">
        <f t="shared" si="54"/>
        <v>0</v>
      </c>
    </row>
    <row r="335" spans="1:33">
      <c r="A335" t="str">
        <f>IF(ABS(H335)&gt;0,基础信息!$B$1,"")</f>
        <v/>
      </c>
      <c r="S335" s="229">
        <f t="shared" si="46"/>
        <v>0</v>
      </c>
      <c r="Z335" s="230">
        <f t="shared" si="47"/>
        <v>0</v>
      </c>
      <c r="AA335" s="230">
        <f t="shared" si="48"/>
        <v>0</v>
      </c>
      <c r="AB335" s="230">
        <f t="shared" si="49"/>
        <v>0</v>
      </c>
      <c r="AC335" s="230">
        <f t="shared" si="50"/>
        <v>0</v>
      </c>
      <c r="AD335" s="230">
        <f t="shared" si="51"/>
        <v>0</v>
      </c>
      <c r="AE335" s="230">
        <f t="shared" si="52"/>
        <v>0</v>
      </c>
      <c r="AF335" s="230">
        <f t="shared" si="53"/>
        <v>0</v>
      </c>
      <c r="AG335" s="230">
        <f t="shared" si="54"/>
        <v>0</v>
      </c>
    </row>
    <row r="336" spans="1:33">
      <c r="A336" t="str">
        <f>IF(ABS(H336)&gt;0,基础信息!$B$1,"")</f>
        <v/>
      </c>
      <c r="S336" s="229">
        <f t="shared" si="46"/>
        <v>0</v>
      </c>
      <c r="Z336" s="230">
        <f t="shared" si="47"/>
        <v>0</v>
      </c>
      <c r="AA336" s="230">
        <f t="shared" si="48"/>
        <v>0</v>
      </c>
      <c r="AB336" s="230">
        <f t="shared" si="49"/>
        <v>0</v>
      </c>
      <c r="AC336" s="230">
        <f t="shared" si="50"/>
        <v>0</v>
      </c>
      <c r="AD336" s="230">
        <f t="shared" si="51"/>
        <v>0</v>
      </c>
      <c r="AE336" s="230">
        <f t="shared" si="52"/>
        <v>0</v>
      </c>
      <c r="AF336" s="230">
        <f t="shared" si="53"/>
        <v>0</v>
      </c>
      <c r="AG336" s="230">
        <f t="shared" si="54"/>
        <v>0</v>
      </c>
    </row>
    <row r="337" spans="1:33">
      <c r="A337" t="str">
        <f>IF(ABS(H337)&gt;0,基础信息!$B$1,"")</f>
        <v/>
      </c>
      <c r="S337" s="229">
        <f t="shared" si="46"/>
        <v>0</v>
      </c>
      <c r="Z337" s="230">
        <f t="shared" si="47"/>
        <v>0</v>
      </c>
      <c r="AA337" s="230">
        <f t="shared" si="48"/>
        <v>0</v>
      </c>
      <c r="AB337" s="230">
        <f t="shared" si="49"/>
        <v>0</v>
      </c>
      <c r="AC337" s="230">
        <f t="shared" si="50"/>
        <v>0</v>
      </c>
      <c r="AD337" s="230">
        <f t="shared" si="51"/>
        <v>0</v>
      </c>
      <c r="AE337" s="230">
        <f t="shared" si="52"/>
        <v>0</v>
      </c>
      <c r="AF337" s="230">
        <f t="shared" si="53"/>
        <v>0</v>
      </c>
      <c r="AG337" s="230">
        <f t="shared" si="54"/>
        <v>0</v>
      </c>
    </row>
    <row r="338" spans="1:33">
      <c r="A338" t="str">
        <f>IF(ABS(H338)&gt;0,基础信息!$B$1,"")</f>
        <v/>
      </c>
      <c r="S338" s="229">
        <f t="shared" si="46"/>
        <v>0</v>
      </c>
      <c r="Z338" s="230">
        <f t="shared" si="47"/>
        <v>0</v>
      </c>
      <c r="AA338" s="230">
        <f t="shared" si="48"/>
        <v>0</v>
      </c>
      <c r="AB338" s="230">
        <f t="shared" si="49"/>
        <v>0</v>
      </c>
      <c r="AC338" s="230">
        <f t="shared" si="50"/>
        <v>0</v>
      </c>
      <c r="AD338" s="230">
        <f t="shared" si="51"/>
        <v>0</v>
      </c>
      <c r="AE338" s="230">
        <f t="shared" si="52"/>
        <v>0</v>
      </c>
      <c r="AF338" s="230">
        <f t="shared" si="53"/>
        <v>0</v>
      </c>
      <c r="AG338" s="230">
        <f t="shared" si="54"/>
        <v>0</v>
      </c>
    </row>
    <row r="339" spans="1:33">
      <c r="A339" t="str">
        <f>IF(ABS(H339)&gt;0,基础信息!$B$1,"")</f>
        <v/>
      </c>
      <c r="S339" s="229">
        <f t="shared" si="46"/>
        <v>0</v>
      </c>
      <c r="Z339" s="230">
        <f t="shared" si="47"/>
        <v>0</v>
      </c>
      <c r="AA339" s="230">
        <f t="shared" si="48"/>
        <v>0</v>
      </c>
      <c r="AB339" s="230">
        <f t="shared" si="49"/>
        <v>0</v>
      </c>
      <c r="AC339" s="230">
        <f t="shared" si="50"/>
        <v>0</v>
      </c>
      <c r="AD339" s="230">
        <f t="shared" si="51"/>
        <v>0</v>
      </c>
      <c r="AE339" s="230">
        <f t="shared" si="52"/>
        <v>0</v>
      </c>
      <c r="AF339" s="230">
        <f t="shared" si="53"/>
        <v>0</v>
      </c>
      <c r="AG339" s="230">
        <f t="shared" si="54"/>
        <v>0</v>
      </c>
    </row>
    <row r="340" spans="1:33">
      <c r="A340" t="str">
        <f>IF(ABS(H340)&gt;0,基础信息!$B$1,"")</f>
        <v/>
      </c>
      <c r="S340" s="229">
        <f t="shared" si="46"/>
        <v>0</v>
      </c>
      <c r="Z340" s="230">
        <f t="shared" si="47"/>
        <v>0</v>
      </c>
      <c r="AA340" s="230">
        <f t="shared" si="48"/>
        <v>0</v>
      </c>
      <c r="AB340" s="230">
        <f t="shared" si="49"/>
        <v>0</v>
      </c>
      <c r="AC340" s="230">
        <f t="shared" si="50"/>
        <v>0</v>
      </c>
      <c r="AD340" s="230">
        <f t="shared" si="51"/>
        <v>0</v>
      </c>
      <c r="AE340" s="230">
        <f t="shared" si="52"/>
        <v>0</v>
      </c>
      <c r="AF340" s="230">
        <f t="shared" si="53"/>
        <v>0</v>
      </c>
      <c r="AG340" s="230">
        <f t="shared" si="54"/>
        <v>0</v>
      </c>
    </row>
    <row r="341" spans="1:33">
      <c r="A341" t="str">
        <f>IF(ABS(H341)&gt;0,基础信息!$B$1,"")</f>
        <v/>
      </c>
      <c r="S341" s="229">
        <f t="shared" ref="S341:S343" si="55">O341+P341-Q341-R341</f>
        <v>0</v>
      </c>
      <c r="Z341" s="230">
        <f t="shared" ref="Z341:Z343" si="56">H341-S341</f>
        <v>0</v>
      </c>
      <c r="AA341" s="230">
        <f t="shared" ref="AA341:AA343" si="57">I341-T341</f>
        <v>0</v>
      </c>
      <c r="AB341" s="230">
        <f t="shared" ref="AB341:AB343" si="58">J341-U341</f>
        <v>0</v>
      </c>
      <c r="AC341" s="230">
        <f t="shared" ref="AC341:AC343" si="59">K341-V341</f>
        <v>0</v>
      </c>
      <c r="AD341" s="230">
        <f t="shared" ref="AD341:AD343" si="60">L341-W341</f>
        <v>0</v>
      </c>
      <c r="AE341" s="230">
        <f t="shared" ref="AE341:AE343" si="61">M341-X341</f>
        <v>0</v>
      </c>
      <c r="AF341" s="230">
        <f t="shared" ref="AF341:AF343" si="62">N341-Y341</f>
        <v>0</v>
      </c>
      <c r="AG341" s="230">
        <f t="shared" ref="AG341:AG343" si="63">S341-SUM(T341:Y341)</f>
        <v>0</v>
      </c>
    </row>
    <row r="342" spans="1:33">
      <c r="A342" t="str">
        <f>IF(ABS(H342)&gt;0,基础信息!$B$1,"")</f>
        <v/>
      </c>
      <c r="S342" s="229">
        <f t="shared" si="55"/>
        <v>0</v>
      </c>
      <c r="Z342" s="230">
        <f t="shared" si="56"/>
        <v>0</v>
      </c>
      <c r="AA342" s="230">
        <f t="shared" si="57"/>
        <v>0</v>
      </c>
      <c r="AB342" s="230">
        <f t="shared" si="58"/>
        <v>0</v>
      </c>
      <c r="AC342" s="230">
        <f t="shared" si="59"/>
        <v>0</v>
      </c>
      <c r="AD342" s="230">
        <f t="shared" si="60"/>
        <v>0</v>
      </c>
      <c r="AE342" s="230">
        <f t="shared" si="61"/>
        <v>0</v>
      </c>
      <c r="AF342" s="230">
        <f t="shared" si="62"/>
        <v>0</v>
      </c>
      <c r="AG342" s="230">
        <f t="shared" si="63"/>
        <v>0</v>
      </c>
    </row>
    <row r="343" spans="1:33">
      <c r="A343" t="str">
        <f>IF(ABS(H343)&gt;0,基础信息!$B$1,"")</f>
        <v/>
      </c>
      <c r="S343" s="229">
        <f t="shared" si="55"/>
        <v>0</v>
      </c>
      <c r="Z343" s="230">
        <f t="shared" si="56"/>
        <v>0</v>
      </c>
      <c r="AA343" s="230">
        <f t="shared" si="57"/>
        <v>0</v>
      </c>
      <c r="AB343" s="230">
        <f t="shared" si="58"/>
        <v>0</v>
      </c>
      <c r="AC343" s="230">
        <f t="shared" si="59"/>
        <v>0</v>
      </c>
      <c r="AD343" s="230">
        <f t="shared" si="60"/>
        <v>0</v>
      </c>
      <c r="AE343" s="230">
        <f t="shared" si="61"/>
        <v>0</v>
      </c>
      <c r="AF343" s="230">
        <f t="shared" si="62"/>
        <v>0</v>
      </c>
      <c r="AG343" s="230">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2D091315-2C6A-46A9-BE4E-66DA078E0D8A}">
          <x14:formula1>
            <xm:f>分类表!#REF!</xm:f>
          </x14:formula1>
          <xm:sqref>C21:C27 E21:E23 G21:G26</xm:sqref>
        </x14:dataValidation>
        <x14:dataValidation type="list" allowBlank="1" showInputMessage="1" showErrorMessage="1" xr:uid="{F2A1AEC1-D6B1-41EC-A0AD-21B99F99CFB3}">
          <x14:formula1>
            <xm:f>分类表!$9:$9</xm:f>
          </x14:formula1>
          <xm:sqref>G2:G20</xm:sqref>
        </x14:dataValidation>
        <x14:dataValidation type="list" allowBlank="1" showInputMessage="1" showErrorMessage="1" xr:uid="{CCA793B0-D7FD-4CDA-BCD3-38BFB6192C85}">
          <x14:formula1>
            <xm:f>分类表!$14:$14</xm:f>
          </x14:formula1>
          <xm:sqref>E2:E20</xm:sqref>
        </x14:dataValidation>
        <x14:dataValidation type="list" allowBlank="1" showInputMessage="1" showErrorMessage="1" xr:uid="{82DB04DD-862A-49AC-9422-7F95D3837BC6}">
          <x14:formula1>
            <xm:f>分类表!$8:$8</xm:f>
          </x14:formula1>
          <xm:sqref>C2:C20</xm:sqref>
        </x14:dataValidation>
      </x14:dataValidations>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codeName="Sheet99">
    <tabColor rgb="FFFFC000"/>
  </sheetPr>
  <dimension ref="A1:C4"/>
  <sheetViews>
    <sheetView workbookViewId="0">
      <selection activeCell="H12" sqref="H12"/>
    </sheetView>
  </sheetViews>
  <sheetFormatPr defaultRowHeight="13.8"/>
  <cols>
    <col min="1" max="1" width="9.5546875" style="18" bestFit="1" customWidth="1"/>
    <col min="2" max="3" width="9.5546875" style="1" bestFit="1" customWidth="1"/>
    <col min="4" max="16384" width="8.88671875" style="18"/>
  </cols>
  <sheetData>
    <row r="1" spans="1:3">
      <c r="A1" s="18" t="s">
        <v>205</v>
      </c>
      <c r="B1" s="1" t="s">
        <v>199</v>
      </c>
      <c r="C1" s="1" t="s">
        <v>200</v>
      </c>
    </row>
    <row r="2" spans="1:3">
      <c r="A2" s="18" t="s">
        <v>6</v>
      </c>
      <c r="B2" s="136">
        <f>ROUND(SUMIF(应收款项融资明细表!C:C,A2,应收款项融资明细表!L:L),2)</f>
        <v>0</v>
      </c>
      <c r="C2" s="138"/>
    </row>
    <row r="3" spans="1:3">
      <c r="A3" s="18" t="s">
        <v>9</v>
      </c>
      <c r="B3" s="136">
        <f>ROUND(SUMIF(应收款项融资明细表!C:C,A3,应收款项融资明细表!L:L),2)</f>
        <v>0</v>
      </c>
      <c r="C3" s="138"/>
    </row>
    <row r="4" spans="1:3">
      <c r="A4" s="18" t="s">
        <v>204</v>
      </c>
      <c r="B4" s="136">
        <f>ROUND(SUM(B2:B3),2)</f>
        <v>0</v>
      </c>
      <c r="C4" s="1">
        <f>ROUND(SUM(C2:C3),2)</f>
        <v>0</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7835-AD95-47C5-8B90-E0150E01EC2C}">
  <sheetPr codeName="Sheet100"/>
  <dimension ref="A1:Q353"/>
  <sheetViews>
    <sheetView workbookViewId="0">
      <selection activeCell="A6" sqref="A6"/>
    </sheetView>
  </sheetViews>
  <sheetFormatPr defaultRowHeight="13.8"/>
  <cols>
    <col min="1" max="1" width="9.5546875" bestFit="1" customWidth="1"/>
    <col min="2" max="2" width="40.21875" bestFit="1" customWidth="1"/>
    <col min="3" max="3" width="40.21875" customWidth="1"/>
    <col min="4" max="4" width="18.33203125" bestFit="1" customWidth="1"/>
    <col min="5" max="6" width="13.88671875" bestFit="1" customWidth="1"/>
    <col min="7" max="7" width="16.109375" customWidth="1"/>
    <col min="8" max="8" width="13.33203125" bestFit="1" customWidth="1"/>
    <col min="9" max="9" width="15" bestFit="1" customWidth="1"/>
    <col min="10" max="10" width="9.5546875" bestFit="1" customWidth="1"/>
    <col min="11" max="11" width="13.88671875" bestFit="1" customWidth="1"/>
    <col min="12" max="12" width="9.5546875" bestFit="1" customWidth="1"/>
    <col min="13" max="13" width="13.88671875" bestFit="1" customWidth="1"/>
    <col min="14" max="14" width="9.5546875" bestFit="1" customWidth="1"/>
    <col min="15" max="15" width="11.6640625" bestFit="1" customWidth="1"/>
    <col min="16" max="16" width="11.6640625" customWidth="1"/>
    <col min="17" max="17" width="15.109375" bestFit="1" customWidth="1"/>
  </cols>
  <sheetData>
    <row r="1" spans="1:17">
      <c r="A1" s="270" t="s">
        <v>1976</v>
      </c>
      <c r="B1" s="270" t="s">
        <v>2345</v>
      </c>
      <c r="C1" s="270" t="s">
        <v>337</v>
      </c>
      <c r="D1" s="271" t="s">
        <v>2151</v>
      </c>
      <c r="E1" s="271" t="s">
        <v>2346</v>
      </c>
      <c r="F1" s="271" t="s">
        <v>2347</v>
      </c>
      <c r="G1" s="271" t="s">
        <v>1685</v>
      </c>
      <c r="H1" s="272" t="s">
        <v>362</v>
      </c>
      <c r="I1" s="271" t="s">
        <v>363</v>
      </c>
      <c r="J1" s="271" t="s">
        <v>3389</v>
      </c>
      <c r="K1" s="271" t="s">
        <v>387</v>
      </c>
      <c r="L1" s="271" t="s">
        <v>347</v>
      </c>
      <c r="M1" s="271" t="s">
        <v>219</v>
      </c>
      <c r="N1" s="271" t="s">
        <v>2349</v>
      </c>
      <c r="O1" s="271" t="s">
        <v>2350</v>
      </c>
      <c r="P1" s="271" t="s">
        <v>2353</v>
      </c>
      <c r="Q1" s="272" t="s">
        <v>215</v>
      </c>
    </row>
    <row r="2" spans="1:17">
      <c r="A2" t="str">
        <f>IF(ABS(H2)&gt;0,基础信息!$B$1,"")</f>
        <v/>
      </c>
      <c r="B2" s="255"/>
      <c r="C2" s="255"/>
      <c r="D2" s="276"/>
      <c r="E2" s="255"/>
      <c r="F2" s="287"/>
      <c r="G2" s="276"/>
      <c r="H2" s="229"/>
      <c r="I2" s="255"/>
      <c r="J2" s="255"/>
      <c r="K2" s="255"/>
      <c r="L2" s="545">
        <f>SUM(H2:K2)</f>
        <v>0</v>
      </c>
      <c r="M2" s="255"/>
      <c r="N2" s="255"/>
      <c r="O2" s="255"/>
      <c r="P2" s="255"/>
      <c r="Q2" s="229">
        <f>M2+N2-O2-P2</f>
        <v>0</v>
      </c>
    </row>
    <row r="3" spans="1:17">
      <c r="A3" t="str">
        <f>IF(ABS(H3)&gt;0,基础信息!$B$1,"")</f>
        <v/>
      </c>
      <c r="B3" s="255"/>
      <c r="C3" s="255"/>
      <c r="D3" s="276"/>
      <c r="E3" s="255"/>
      <c r="F3" s="287"/>
      <c r="G3" s="276"/>
      <c r="H3" s="229"/>
      <c r="I3" s="255"/>
      <c r="J3" s="255"/>
      <c r="K3" s="255"/>
      <c r="L3" s="545">
        <f t="shared" ref="L3:L21" si="0">SUM(H3:K3)</f>
        <v>0</v>
      </c>
      <c r="M3" s="255"/>
      <c r="N3" s="255"/>
      <c r="O3" s="255"/>
      <c r="P3" s="255"/>
      <c r="Q3" s="229">
        <f t="shared" ref="Q3:Q66" si="1">M3+N3-O3-P3</f>
        <v>0</v>
      </c>
    </row>
    <row r="4" spans="1:17">
      <c r="A4" t="str">
        <f>IF(ABS(H4)&gt;0,基础信息!$B$1,"")</f>
        <v/>
      </c>
      <c r="B4" s="255"/>
      <c r="C4" s="255"/>
      <c r="D4" s="276"/>
      <c r="E4" s="255"/>
      <c r="F4" s="287"/>
      <c r="G4" s="276"/>
      <c r="H4" s="229"/>
      <c r="I4" s="255"/>
      <c r="J4" s="255"/>
      <c r="K4" s="255"/>
      <c r="L4" s="545">
        <f t="shared" si="0"/>
        <v>0</v>
      </c>
      <c r="M4" s="255"/>
      <c r="N4" s="255"/>
      <c r="O4" s="255"/>
      <c r="P4" s="255"/>
      <c r="Q4" s="229">
        <f t="shared" si="1"/>
        <v>0</v>
      </c>
    </row>
    <row r="5" spans="1:17">
      <c r="A5" t="str">
        <f>IF(ABS(H5)&gt;0,基础信息!$B$1,"")</f>
        <v/>
      </c>
      <c r="B5" s="255"/>
      <c r="C5" s="255"/>
      <c r="D5" s="276"/>
      <c r="E5" s="255"/>
      <c r="F5" s="287"/>
      <c r="G5" s="276"/>
      <c r="H5" s="229"/>
      <c r="I5" s="255"/>
      <c r="J5" s="255"/>
      <c r="K5" s="255"/>
      <c r="L5" s="545">
        <f t="shared" si="0"/>
        <v>0</v>
      </c>
      <c r="M5" s="255"/>
      <c r="N5" s="255"/>
      <c r="O5" s="255"/>
      <c r="P5" s="255"/>
      <c r="Q5" s="229">
        <f t="shared" si="1"/>
        <v>0</v>
      </c>
    </row>
    <row r="6" spans="1:17">
      <c r="A6" t="str">
        <f>IF(ABS(H6)&gt;0,基础信息!$B$1,"")</f>
        <v/>
      </c>
      <c r="B6" s="255"/>
      <c r="C6" s="255"/>
      <c r="D6" s="276"/>
      <c r="E6" s="255"/>
      <c r="F6" s="287"/>
      <c r="G6" s="276"/>
      <c r="H6" s="229"/>
      <c r="I6" s="255"/>
      <c r="J6" s="255"/>
      <c r="K6" s="255"/>
      <c r="L6" s="545">
        <f t="shared" si="0"/>
        <v>0</v>
      </c>
      <c r="M6" s="255"/>
      <c r="N6" s="255"/>
      <c r="O6" s="255"/>
      <c r="P6" s="255"/>
      <c r="Q6" s="229">
        <f t="shared" si="1"/>
        <v>0</v>
      </c>
    </row>
    <row r="7" spans="1:17">
      <c r="A7" t="str">
        <f>IF(ABS(H7)&gt;0,基础信息!$B$1,"")</f>
        <v/>
      </c>
      <c r="B7" s="255"/>
      <c r="C7" s="255"/>
      <c r="D7" s="276"/>
      <c r="E7" s="255"/>
      <c r="F7" s="287"/>
      <c r="G7" s="276"/>
      <c r="H7" s="229"/>
      <c r="I7" s="255"/>
      <c r="J7" s="255"/>
      <c r="K7" s="255"/>
      <c r="L7" s="545">
        <f t="shared" si="0"/>
        <v>0</v>
      </c>
      <c r="M7" s="255"/>
      <c r="N7" s="255"/>
      <c r="O7" s="255"/>
      <c r="P7" s="255"/>
      <c r="Q7" s="229">
        <f t="shared" si="1"/>
        <v>0</v>
      </c>
    </row>
    <row r="8" spans="1:17">
      <c r="A8" t="str">
        <f>IF(ABS(H8)&gt;0,基础信息!$B$1,"")</f>
        <v/>
      </c>
      <c r="B8" s="255"/>
      <c r="C8" s="255"/>
      <c r="D8" s="276"/>
      <c r="E8" s="255"/>
      <c r="F8" s="287"/>
      <c r="G8" s="276"/>
      <c r="H8" s="229"/>
      <c r="I8" s="255"/>
      <c r="J8" s="255"/>
      <c r="K8" s="255"/>
      <c r="L8" s="545">
        <f t="shared" si="0"/>
        <v>0</v>
      </c>
      <c r="M8" s="255"/>
      <c r="N8" s="255"/>
      <c r="O8" s="255"/>
      <c r="P8" s="255"/>
      <c r="Q8" s="229">
        <f t="shared" si="1"/>
        <v>0</v>
      </c>
    </row>
    <row r="9" spans="1:17">
      <c r="A9" t="str">
        <f>IF(ABS(H9)&gt;0,基础信息!$B$1,"")</f>
        <v/>
      </c>
      <c r="B9" s="255"/>
      <c r="C9" s="255"/>
      <c r="D9" s="276"/>
      <c r="E9" s="255"/>
      <c r="F9" s="287"/>
      <c r="G9" s="276"/>
      <c r="H9" s="229"/>
      <c r="I9" s="255"/>
      <c r="J9" s="255"/>
      <c r="K9" s="255"/>
      <c r="L9" s="545">
        <f t="shared" si="0"/>
        <v>0</v>
      </c>
      <c r="M9" s="255"/>
      <c r="N9" s="255"/>
      <c r="O9" s="255"/>
      <c r="P9" s="255"/>
      <c r="Q9" s="229">
        <f t="shared" si="1"/>
        <v>0</v>
      </c>
    </row>
    <row r="10" spans="1:17">
      <c r="A10" t="str">
        <f>IF(ABS(H10)&gt;0,基础信息!$B$1,"")</f>
        <v/>
      </c>
      <c r="B10" s="255"/>
      <c r="C10" s="255"/>
      <c r="D10" s="276"/>
      <c r="E10" s="255"/>
      <c r="F10" s="287"/>
      <c r="G10" s="276"/>
      <c r="H10" s="229"/>
      <c r="I10" s="255"/>
      <c r="J10" s="255"/>
      <c r="K10" s="255"/>
      <c r="L10" s="545">
        <f t="shared" si="0"/>
        <v>0</v>
      </c>
      <c r="M10" s="255"/>
      <c r="N10" s="255"/>
      <c r="O10" s="255"/>
      <c r="P10" s="255"/>
      <c r="Q10" s="229">
        <f t="shared" si="1"/>
        <v>0</v>
      </c>
    </row>
    <row r="11" spans="1:17">
      <c r="A11" t="str">
        <f>IF(ABS(H11)&gt;0,基础信息!$B$1,"")</f>
        <v/>
      </c>
      <c r="B11" s="255"/>
      <c r="C11" s="255"/>
      <c r="D11" s="276"/>
      <c r="E11" s="255"/>
      <c r="F11" s="287"/>
      <c r="G11" s="276"/>
      <c r="H11" s="229"/>
      <c r="I11" s="255"/>
      <c r="J11" s="255"/>
      <c r="K11" s="255"/>
      <c r="L11" s="545">
        <f t="shared" si="0"/>
        <v>0</v>
      </c>
      <c r="M11" s="255"/>
      <c r="N11" s="255"/>
      <c r="O11" s="255"/>
      <c r="P11" s="255"/>
      <c r="Q11" s="229">
        <f t="shared" si="1"/>
        <v>0</v>
      </c>
    </row>
    <row r="12" spans="1:17">
      <c r="A12" t="str">
        <f>IF(ABS(H12)&gt;0,基础信息!$B$1,"")</f>
        <v/>
      </c>
      <c r="B12" s="255"/>
      <c r="C12" s="255"/>
      <c r="D12" s="276"/>
      <c r="E12" s="255"/>
      <c r="F12" s="287"/>
      <c r="G12" s="276"/>
      <c r="H12" s="229"/>
      <c r="I12" s="255"/>
      <c r="J12" s="255"/>
      <c r="K12" s="255"/>
      <c r="L12" s="545">
        <f t="shared" si="0"/>
        <v>0</v>
      </c>
      <c r="M12" s="255"/>
      <c r="N12" s="255"/>
      <c r="O12" s="255"/>
      <c r="P12" s="255"/>
      <c r="Q12" s="229">
        <f t="shared" si="1"/>
        <v>0</v>
      </c>
    </row>
    <row r="13" spans="1:17">
      <c r="A13" t="str">
        <f>IF(ABS(H13)&gt;0,基础信息!$B$1,"")</f>
        <v/>
      </c>
      <c r="B13" s="255"/>
      <c r="C13" s="255"/>
      <c r="D13" s="276"/>
      <c r="E13" s="255"/>
      <c r="F13" s="287"/>
      <c r="G13" s="276"/>
      <c r="H13" s="229"/>
      <c r="I13" s="255"/>
      <c r="J13" s="255"/>
      <c r="K13" s="255"/>
      <c r="L13" s="545">
        <f t="shared" si="0"/>
        <v>0</v>
      </c>
      <c r="M13" s="255"/>
      <c r="N13" s="255"/>
      <c r="O13" s="255"/>
      <c r="P13" s="255"/>
      <c r="Q13" s="229">
        <f t="shared" si="1"/>
        <v>0</v>
      </c>
    </row>
    <row r="14" spans="1:17">
      <c r="A14" t="str">
        <f>IF(ABS(H14)&gt;0,基础信息!$B$1,"")</f>
        <v/>
      </c>
      <c r="B14" s="255"/>
      <c r="C14" s="255"/>
      <c r="D14" s="276"/>
      <c r="E14" s="255"/>
      <c r="F14" s="287"/>
      <c r="G14" s="276"/>
      <c r="H14" s="229"/>
      <c r="I14" s="255"/>
      <c r="J14" s="255"/>
      <c r="K14" s="255"/>
      <c r="L14" s="545">
        <f t="shared" si="0"/>
        <v>0</v>
      </c>
      <c r="M14" s="255"/>
      <c r="N14" s="255"/>
      <c r="O14" s="255"/>
      <c r="P14" s="255"/>
      <c r="Q14" s="229">
        <f t="shared" si="1"/>
        <v>0</v>
      </c>
    </row>
    <row r="15" spans="1:17">
      <c r="A15" t="str">
        <f>IF(ABS(H15)&gt;0,基础信息!$B$1,"")</f>
        <v/>
      </c>
      <c r="B15" s="255"/>
      <c r="C15" s="255"/>
      <c r="D15" s="276"/>
      <c r="E15" s="255"/>
      <c r="F15" s="287"/>
      <c r="G15" s="276"/>
      <c r="H15" s="229"/>
      <c r="I15" s="255"/>
      <c r="J15" s="255"/>
      <c r="K15" s="255"/>
      <c r="L15" s="545">
        <f t="shared" si="0"/>
        <v>0</v>
      </c>
      <c r="M15" s="255"/>
      <c r="N15" s="255"/>
      <c r="O15" s="255"/>
      <c r="P15" s="255"/>
      <c r="Q15" s="229">
        <f t="shared" si="1"/>
        <v>0</v>
      </c>
    </row>
    <row r="16" spans="1:17">
      <c r="A16" t="str">
        <f>IF(ABS(H16)&gt;0,基础信息!$B$1,"")</f>
        <v/>
      </c>
      <c r="B16" s="255"/>
      <c r="C16" s="255"/>
      <c r="D16" s="276"/>
      <c r="E16" s="255"/>
      <c r="F16" s="287"/>
      <c r="G16" s="276"/>
      <c r="H16" s="229"/>
      <c r="I16" s="255"/>
      <c r="J16" s="255"/>
      <c r="K16" s="255"/>
      <c r="L16" s="545">
        <f t="shared" si="0"/>
        <v>0</v>
      </c>
      <c r="M16" s="255"/>
      <c r="N16" s="255"/>
      <c r="O16" s="255"/>
      <c r="P16" s="255"/>
      <c r="Q16" s="229">
        <f t="shared" si="1"/>
        <v>0</v>
      </c>
    </row>
    <row r="17" spans="1:17">
      <c r="A17" t="str">
        <f>IF(ABS(H17)&gt;0,基础信息!$B$1,"")</f>
        <v/>
      </c>
      <c r="B17" s="255"/>
      <c r="C17" s="255"/>
      <c r="D17" s="276"/>
      <c r="E17" s="255"/>
      <c r="F17" s="287"/>
      <c r="G17" s="276"/>
      <c r="H17" s="229"/>
      <c r="I17" s="255"/>
      <c r="J17" s="255"/>
      <c r="K17" s="255"/>
      <c r="L17" s="545">
        <f t="shared" si="0"/>
        <v>0</v>
      </c>
      <c r="M17" s="255"/>
      <c r="N17" s="255"/>
      <c r="O17" s="255"/>
      <c r="P17" s="255"/>
      <c r="Q17" s="229">
        <f t="shared" si="1"/>
        <v>0</v>
      </c>
    </row>
    <row r="18" spans="1:17">
      <c r="A18" t="str">
        <f>IF(ABS(H18)&gt;0,基础信息!$B$1,"")</f>
        <v/>
      </c>
      <c r="B18" s="255"/>
      <c r="C18" s="255"/>
      <c r="D18" s="276"/>
      <c r="F18" s="287"/>
      <c r="G18" s="276"/>
      <c r="H18" s="229"/>
      <c r="L18" s="545">
        <f t="shared" si="0"/>
        <v>0</v>
      </c>
      <c r="Q18" s="229">
        <f t="shared" si="1"/>
        <v>0</v>
      </c>
    </row>
    <row r="19" spans="1:17">
      <c r="A19" t="str">
        <f>IF(ABS(H19)&gt;0,基础信息!$B$1,"")</f>
        <v/>
      </c>
      <c r="B19" s="255"/>
      <c r="C19" s="255"/>
      <c r="D19" s="276"/>
      <c r="F19" s="287"/>
      <c r="G19" s="276"/>
      <c r="H19" s="229"/>
      <c r="L19" s="545">
        <f t="shared" si="0"/>
        <v>0</v>
      </c>
      <c r="Q19" s="229">
        <f t="shared" si="1"/>
        <v>0</v>
      </c>
    </row>
    <row r="20" spans="1:17">
      <c r="A20" t="str">
        <f>IF(ABS(H20)&gt;0,基础信息!$B$1,"")</f>
        <v/>
      </c>
      <c r="B20" s="255"/>
      <c r="C20" s="255"/>
      <c r="D20" s="276"/>
      <c r="F20" s="287"/>
      <c r="G20" s="276"/>
      <c r="H20" s="229"/>
      <c r="L20" s="545">
        <f t="shared" si="0"/>
        <v>0</v>
      </c>
      <c r="Q20" s="229">
        <f t="shared" si="1"/>
        <v>0</v>
      </c>
    </row>
    <row r="21" spans="1:17">
      <c r="L21" s="545">
        <f t="shared" si="0"/>
        <v>0</v>
      </c>
      <c r="Q21" s="229">
        <f t="shared" si="1"/>
        <v>0</v>
      </c>
    </row>
    <row r="22" spans="1:17">
      <c r="A22" t="str">
        <f>IF(ABS(H22)&gt;0,基础信息!$B$1,"")</f>
        <v/>
      </c>
      <c r="Q22" s="229">
        <f t="shared" si="1"/>
        <v>0</v>
      </c>
    </row>
    <row r="23" spans="1:17">
      <c r="A23" t="str">
        <f>IF(ABS(H23)&gt;0,基础信息!$B$1,"")</f>
        <v/>
      </c>
      <c r="Q23" s="229">
        <f t="shared" si="1"/>
        <v>0</v>
      </c>
    </row>
    <row r="24" spans="1:17">
      <c r="A24" t="str">
        <f>IF(ABS(H24)&gt;0,基础信息!$B$1,"")</f>
        <v/>
      </c>
      <c r="Q24" s="229">
        <f t="shared" si="1"/>
        <v>0</v>
      </c>
    </row>
    <row r="25" spans="1:17">
      <c r="A25" t="str">
        <f>IF(ABS(H25)&gt;0,基础信息!$B$1,"")</f>
        <v/>
      </c>
      <c r="Q25" s="229">
        <f t="shared" si="1"/>
        <v>0</v>
      </c>
    </row>
    <row r="26" spans="1:17">
      <c r="A26" t="str">
        <f>IF(ABS(H26)&gt;0,基础信息!$B$1,"")</f>
        <v/>
      </c>
      <c r="Q26" s="229">
        <f t="shared" si="1"/>
        <v>0</v>
      </c>
    </row>
    <row r="27" spans="1:17">
      <c r="A27" t="str">
        <f>IF(ABS(H27)&gt;0,基础信息!$B$1,"")</f>
        <v/>
      </c>
      <c r="Q27" s="229">
        <f t="shared" si="1"/>
        <v>0</v>
      </c>
    </row>
    <row r="28" spans="1:17">
      <c r="A28" t="str">
        <f>IF(ABS(H28)&gt;0,基础信息!$B$1,"")</f>
        <v/>
      </c>
      <c r="Q28" s="229">
        <f t="shared" si="1"/>
        <v>0</v>
      </c>
    </row>
    <row r="29" spans="1:17">
      <c r="A29" t="str">
        <f>IF(ABS(H29)&gt;0,基础信息!$B$1,"")</f>
        <v/>
      </c>
      <c r="Q29" s="229">
        <f t="shared" si="1"/>
        <v>0</v>
      </c>
    </row>
    <row r="30" spans="1:17">
      <c r="A30" t="str">
        <f>IF(ABS(H30)&gt;0,基础信息!$B$1,"")</f>
        <v/>
      </c>
      <c r="Q30" s="229">
        <f t="shared" si="1"/>
        <v>0</v>
      </c>
    </row>
    <row r="31" spans="1:17">
      <c r="A31" t="str">
        <f>IF(ABS(H31)&gt;0,基础信息!$B$1,"")</f>
        <v/>
      </c>
      <c r="Q31" s="229">
        <f t="shared" si="1"/>
        <v>0</v>
      </c>
    </row>
    <row r="32" spans="1:17">
      <c r="A32" t="str">
        <f>IF(ABS(H32)&gt;0,基础信息!$B$1,"")</f>
        <v/>
      </c>
      <c r="Q32" s="229">
        <f t="shared" si="1"/>
        <v>0</v>
      </c>
    </row>
    <row r="33" spans="1:17">
      <c r="A33" t="str">
        <f>IF(ABS(H33)&gt;0,基础信息!$B$1,"")</f>
        <v/>
      </c>
      <c r="Q33" s="229">
        <f t="shared" si="1"/>
        <v>0</v>
      </c>
    </row>
    <row r="34" spans="1:17">
      <c r="A34" t="str">
        <f>IF(ABS(H34)&gt;0,基础信息!$B$1,"")</f>
        <v/>
      </c>
      <c r="Q34" s="229">
        <f t="shared" si="1"/>
        <v>0</v>
      </c>
    </row>
    <row r="35" spans="1:17">
      <c r="A35" t="str">
        <f>IF(ABS(H35)&gt;0,基础信息!$B$1,"")</f>
        <v/>
      </c>
      <c r="Q35" s="229">
        <f t="shared" si="1"/>
        <v>0</v>
      </c>
    </row>
    <row r="36" spans="1:17">
      <c r="A36" t="str">
        <f>IF(ABS(H36)&gt;0,基础信息!$B$1,"")</f>
        <v/>
      </c>
      <c r="Q36" s="229">
        <f t="shared" si="1"/>
        <v>0</v>
      </c>
    </row>
    <row r="37" spans="1:17">
      <c r="A37" t="str">
        <f>IF(ABS(H37)&gt;0,基础信息!$B$1,"")</f>
        <v/>
      </c>
      <c r="Q37" s="229">
        <f t="shared" si="1"/>
        <v>0</v>
      </c>
    </row>
    <row r="38" spans="1:17">
      <c r="A38" t="str">
        <f>IF(ABS(H38)&gt;0,基础信息!$B$1,"")</f>
        <v/>
      </c>
      <c r="Q38" s="229">
        <f t="shared" si="1"/>
        <v>0</v>
      </c>
    </row>
    <row r="39" spans="1:17">
      <c r="A39" t="str">
        <f>IF(ABS(H39)&gt;0,基础信息!$B$1,"")</f>
        <v/>
      </c>
      <c r="Q39" s="229">
        <f t="shared" si="1"/>
        <v>0</v>
      </c>
    </row>
    <row r="40" spans="1:17">
      <c r="A40" t="str">
        <f>IF(ABS(H40)&gt;0,基础信息!$B$1,"")</f>
        <v/>
      </c>
      <c r="Q40" s="229">
        <f t="shared" si="1"/>
        <v>0</v>
      </c>
    </row>
    <row r="41" spans="1:17">
      <c r="A41" t="str">
        <f>IF(ABS(H41)&gt;0,基础信息!$B$1,"")</f>
        <v/>
      </c>
      <c r="Q41" s="229">
        <f t="shared" si="1"/>
        <v>0</v>
      </c>
    </row>
    <row r="42" spans="1:17">
      <c r="A42" t="str">
        <f>IF(ABS(H42)&gt;0,基础信息!$B$1,"")</f>
        <v/>
      </c>
      <c r="Q42" s="229">
        <f t="shared" si="1"/>
        <v>0</v>
      </c>
    </row>
    <row r="43" spans="1:17">
      <c r="A43" t="str">
        <f>IF(ABS(H43)&gt;0,基础信息!$B$1,"")</f>
        <v/>
      </c>
      <c r="Q43" s="229">
        <f t="shared" si="1"/>
        <v>0</v>
      </c>
    </row>
    <row r="44" spans="1:17">
      <c r="A44" t="str">
        <f>IF(ABS(H44)&gt;0,基础信息!$B$1,"")</f>
        <v/>
      </c>
      <c r="Q44" s="229">
        <f t="shared" si="1"/>
        <v>0</v>
      </c>
    </row>
    <row r="45" spans="1:17">
      <c r="A45" t="str">
        <f>IF(ABS(H45)&gt;0,基础信息!$B$1,"")</f>
        <v/>
      </c>
      <c r="Q45" s="229">
        <f t="shared" si="1"/>
        <v>0</v>
      </c>
    </row>
    <row r="46" spans="1:17">
      <c r="A46" t="str">
        <f>IF(ABS(H46)&gt;0,基础信息!$B$1,"")</f>
        <v/>
      </c>
      <c r="Q46" s="229">
        <f t="shared" si="1"/>
        <v>0</v>
      </c>
    </row>
    <row r="47" spans="1:17">
      <c r="A47" t="str">
        <f>IF(ABS(H47)&gt;0,基础信息!$B$1,"")</f>
        <v/>
      </c>
      <c r="Q47" s="229">
        <f t="shared" si="1"/>
        <v>0</v>
      </c>
    </row>
    <row r="48" spans="1:17">
      <c r="A48" t="str">
        <f>IF(ABS(H48)&gt;0,基础信息!$B$1,"")</f>
        <v/>
      </c>
      <c r="Q48" s="229">
        <f t="shared" si="1"/>
        <v>0</v>
      </c>
    </row>
    <row r="49" spans="1:17">
      <c r="A49" t="str">
        <f>IF(ABS(H49)&gt;0,基础信息!$B$1,"")</f>
        <v/>
      </c>
      <c r="Q49" s="229">
        <f t="shared" si="1"/>
        <v>0</v>
      </c>
    </row>
    <row r="50" spans="1:17">
      <c r="A50" t="str">
        <f>IF(ABS(H50)&gt;0,基础信息!$B$1,"")</f>
        <v/>
      </c>
      <c r="Q50" s="229">
        <f t="shared" si="1"/>
        <v>0</v>
      </c>
    </row>
    <row r="51" spans="1:17">
      <c r="A51" t="str">
        <f>IF(ABS(H51)&gt;0,基础信息!$B$1,"")</f>
        <v/>
      </c>
      <c r="Q51" s="229">
        <f t="shared" si="1"/>
        <v>0</v>
      </c>
    </row>
    <row r="52" spans="1:17">
      <c r="A52" t="str">
        <f>IF(ABS(H52)&gt;0,基础信息!$B$1,"")</f>
        <v/>
      </c>
      <c r="Q52" s="229">
        <f t="shared" si="1"/>
        <v>0</v>
      </c>
    </row>
    <row r="53" spans="1:17">
      <c r="A53" t="str">
        <f>IF(ABS(H53)&gt;0,基础信息!$B$1,"")</f>
        <v/>
      </c>
      <c r="Q53" s="229">
        <f t="shared" si="1"/>
        <v>0</v>
      </c>
    </row>
    <row r="54" spans="1:17">
      <c r="A54" t="str">
        <f>IF(ABS(H54)&gt;0,基础信息!$B$1,"")</f>
        <v/>
      </c>
      <c r="Q54" s="229">
        <f t="shared" si="1"/>
        <v>0</v>
      </c>
    </row>
    <row r="55" spans="1:17">
      <c r="A55" t="str">
        <f>IF(ABS(H55)&gt;0,基础信息!$B$1,"")</f>
        <v/>
      </c>
      <c r="Q55" s="229">
        <f t="shared" si="1"/>
        <v>0</v>
      </c>
    </row>
    <row r="56" spans="1:17">
      <c r="A56" t="str">
        <f>IF(ABS(H56)&gt;0,基础信息!$B$1,"")</f>
        <v/>
      </c>
      <c r="Q56" s="229">
        <f t="shared" si="1"/>
        <v>0</v>
      </c>
    </row>
    <row r="57" spans="1:17">
      <c r="A57" t="str">
        <f>IF(ABS(H57)&gt;0,基础信息!$B$1,"")</f>
        <v/>
      </c>
      <c r="Q57" s="229">
        <f t="shared" si="1"/>
        <v>0</v>
      </c>
    </row>
    <row r="58" spans="1:17">
      <c r="A58" t="str">
        <f>IF(ABS(H58)&gt;0,基础信息!$B$1,"")</f>
        <v/>
      </c>
      <c r="Q58" s="229">
        <f t="shared" si="1"/>
        <v>0</v>
      </c>
    </row>
    <row r="59" spans="1:17">
      <c r="A59" t="str">
        <f>IF(ABS(H59)&gt;0,基础信息!$B$1,"")</f>
        <v/>
      </c>
      <c r="Q59" s="229">
        <f t="shared" si="1"/>
        <v>0</v>
      </c>
    </row>
    <row r="60" spans="1:17">
      <c r="A60" t="str">
        <f>IF(ABS(H60)&gt;0,基础信息!$B$1,"")</f>
        <v/>
      </c>
      <c r="Q60" s="229">
        <f t="shared" si="1"/>
        <v>0</v>
      </c>
    </row>
    <row r="61" spans="1:17">
      <c r="A61" t="str">
        <f>IF(ABS(H61)&gt;0,基础信息!$B$1,"")</f>
        <v/>
      </c>
      <c r="Q61" s="229">
        <f t="shared" si="1"/>
        <v>0</v>
      </c>
    </row>
    <row r="62" spans="1:17">
      <c r="A62" t="str">
        <f>IF(ABS(H62)&gt;0,基础信息!$B$1,"")</f>
        <v/>
      </c>
      <c r="Q62" s="229">
        <f t="shared" si="1"/>
        <v>0</v>
      </c>
    </row>
    <row r="63" spans="1:17">
      <c r="A63" t="str">
        <f>IF(ABS(H63)&gt;0,基础信息!$B$1,"")</f>
        <v/>
      </c>
      <c r="Q63" s="229">
        <f t="shared" si="1"/>
        <v>0</v>
      </c>
    </row>
    <row r="64" spans="1:17">
      <c r="A64" t="str">
        <f>IF(ABS(H64)&gt;0,基础信息!$B$1,"")</f>
        <v/>
      </c>
      <c r="Q64" s="229">
        <f t="shared" si="1"/>
        <v>0</v>
      </c>
    </row>
    <row r="65" spans="1:17">
      <c r="A65" t="str">
        <f>IF(ABS(H65)&gt;0,基础信息!$B$1,"")</f>
        <v/>
      </c>
      <c r="Q65" s="229">
        <f t="shared" si="1"/>
        <v>0</v>
      </c>
    </row>
    <row r="66" spans="1:17">
      <c r="A66" t="str">
        <f>IF(ABS(H66)&gt;0,基础信息!$B$1,"")</f>
        <v/>
      </c>
      <c r="Q66" s="229">
        <f t="shared" si="1"/>
        <v>0</v>
      </c>
    </row>
    <row r="67" spans="1:17">
      <c r="A67" t="str">
        <f>IF(ABS(H67)&gt;0,基础信息!$B$1,"")</f>
        <v/>
      </c>
      <c r="Q67" s="229">
        <f t="shared" ref="Q67:Q130" si="2">M67+N67-O67-P67</f>
        <v>0</v>
      </c>
    </row>
    <row r="68" spans="1:17">
      <c r="A68" t="str">
        <f>IF(ABS(H68)&gt;0,基础信息!$B$1,"")</f>
        <v/>
      </c>
      <c r="Q68" s="229">
        <f t="shared" si="2"/>
        <v>0</v>
      </c>
    </row>
    <row r="69" spans="1:17">
      <c r="A69" t="str">
        <f>IF(ABS(H69)&gt;0,基础信息!$B$1,"")</f>
        <v/>
      </c>
      <c r="Q69" s="229">
        <f t="shared" si="2"/>
        <v>0</v>
      </c>
    </row>
    <row r="70" spans="1:17">
      <c r="A70" t="str">
        <f>IF(ABS(H70)&gt;0,基础信息!$B$1,"")</f>
        <v/>
      </c>
      <c r="Q70" s="229">
        <f t="shared" si="2"/>
        <v>0</v>
      </c>
    </row>
    <row r="71" spans="1:17">
      <c r="A71" t="str">
        <f>IF(ABS(H71)&gt;0,基础信息!$B$1,"")</f>
        <v/>
      </c>
      <c r="Q71" s="229">
        <f t="shared" si="2"/>
        <v>0</v>
      </c>
    </row>
    <row r="72" spans="1:17">
      <c r="A72" t="str">
        <f>IF(ABS(H72)&gt;0,基础信息!$B$1,"")</f>
        <v/>
      </c>
      <c r="Q72" s="229">
        <f t="shared" si="2"/>
        <v>0</v>
      </c>
    </row>
    <row r="73" spans="1:17">
      <c r="A73" t="str">
        <f>IF(ABS(H73)&gt;0,基础信息!$B$1,"")</f>
        <v/>
      </c>
      <c r="Q73" s="229">
        <f t="shared" si="2"/>
        <v>0</v>
      </c>
    </row>
    <row r="74" spans="1:17">
      <c r="A74" t="str">
        <f>IF(ABS(H74)&gt;0,基础信息!$B$1,"")</f>
        <v/>
      </c>
      <c r="Q74" s="229">
        <f t="shared" si="2"/>
        <v>0</v>
      </c>
    </row>
    <row r="75" spans="1:17">
      <c r="A75" t="str">
        <f>IF(ABS(H75)&gt;0,基础信息!$B$1,"")</f>
        <v/>
      </c>
      <c r="Q75" s="229">
        <f t="shared" si="2"/>
        <v>0</v>
      </c>
    </row>
    <row r="76" spans="1:17">
      <c r="A76" t="str">
        <f>IF(ABS(H76)&gt;0,基础信息!$B$1,"")</f>
        <v/>
      </c>
      <c r="Q76" s="229">
        <f t="shared" si="2"/>
        <v>0</v>
      </c>
    </row>
    <row r="77" spans="1:17">
      <c r="A77" t="str">
        <f>IF(ABS(H77)&gt;0,基础信息!$B$1,"")</f>
        <v/>
      </c>
      <c r="Q77" s="229">
        <f t="shared" si="2"/>
        <v>0</v>
      </c>
    </row>
    <row r="78" spans="1:17">
      <c r="A78" t="str">
        <f>IF(ABS(H78)&gt;0,基础信息!$B$1,"")</f>
        <v/>
      </c>
      <c r="Q78" s="229">
        <f t="shared" si="2"/>
        <v>0</v>
      </c>
    </row>
    <row r="79" spans="1:17">
      <c r="A79" t="str">
        <f>IF(ABS(H79)&gt;0,基础信息!$B$1,"")</f>
        <v/>
      </c>
      <c r="Q79" s="229">
        <f t="shared" si="2"/>
        <v>0</v>
      </c>
    </row>
    <row r="80" spans="1:17">
      <c r="A80" t="str">
        <f>IF(ABS(H80)&gt;0,基础信息!$B$1,"")</f>
        <v/>
      </c>
      <c r="Q80" s="229">
        <f t="shared" si="2"/>
        <v>0</v>
      </c>
    </row>
    <row r="81" spans="1:17">
      <c r="A81" t="str">
        <f>IF(ABS(H81)&gt;0,基础信息!$B$1,"")</f>
        <v/>
      </c>
      <c r="Q81" s="229">
        <f t="shared" si="2"/>
        <v>0</v>
      </c>
    </row>
    <row r="82" spans="1:17">
      <c r="A82" t="str">
        <f>IF(ABS(H82)&gt;0,基础信息!$B$1,"")</f>
        <v/>
      </c>
      <c r="Q82" s="229">
        <f t="shared" si="2"/>
        <v>0</v>
      </c>
    </row>
    <row r="83" spans="1:17">
      <c r="A83" t="str">
        <f>IF(ABS(H83)&gt;0,基础信息!$B$1,"")</f>
        <v/>
      </c>
      <c r="Q83" s="229">
        <f t="shared" si="2"/>
        <v>0</v>
      </c>
    </row>
    <row r="84" spans="1:17">
      <c r="A84" t="str">
        <f>IF(ABS(H84)&gt;0,基础信息!$B$1,"")</f>
        <v/>
      </c>
      <c r="Q84" s="229">
        <f t="shared" si="2"/>
        <v>0</v>
      </c>
    </row>
    <row r="85" spans="1:17">
      <c r="A85" t="str">
        <f>IF(ABS(H85)&gt;0,基础信息!$B$1,"")</f>
        <v/>
      </c>
      <c r="Q85" s="229">
        <f t="shared" si="2"/>
        <v>0</v>
      </c>
    </row>
    <row r="86" spans="1:17">
      <c r="A86" t="str">
        <f>IF(ABS(H86)&gt;0,基础信息!$B$1,"")</f>
        <v/>
      </c>
      <c r="Q86" s="229">
        <f t="shared" si="2"/>
        <v>0</v>
      </c>
    </row>
    <row r="87" spans="1:17">
      <c r="A87" t="str">
        <f>IF(ABS(H87)&gt;0,基础信息!$B$1,"")</f>
        <v/>
      </c>
      <c r="Q87" s="229">
        <f t="shared" si="2"/>
        <v>0</v>
      </c>
    </row>
    <row r="88" spans="1:17">
      <c r="A88" t="str">
        <f>IF(ABS(H88)&gt;0,基础信息!$B$1,"")</f>
        <v/>
      </c>
      <c r="Q88" s="229">
        <f t="shared" si="2"/>
        <v>0</v>
      </c>
    </row>
    <row r="89" spans="1:17">
      <c r="A89" t="str">
        <f>IF(ABS(H89)&gt;0,基础信息!$B$1,"")</f>
        <v/>
      </c>
      <c r="Q89" s="229">
        <f t="shared" si="2"/>
        <v>0</v>
      </c>
    </row>
    <row r="90" spans="1:17">
      <c r="A90" t="str">
        <f>IF(ABS(H90)&gt;0,基础信息!$B$1,"")</f>
        <v/>
      </c>
      <c r="Q90" s="229">
        <f t="shared" si="2"/>
        <v>0</v>
      </c>
    </row>
    <row r="91" spans="1:17">
      <c r="A91" t="str">
        <f>IF(ABS(H91)&gt;0,基础信息!$B$1,"")</f>
        <v/>
      </c>
      <c r="Q91" s="229">
        <f t="shared" si="2"/>
        <v>0</v>
      </c>
    </row>
    <row r="92" spans="1:17">
      <c r="A92" t="str">
        <f>IF(ABS(H92)&gt;0,基础信息!$B$1,"")</f>
        <v/>
      </c>
      <c r="Q92" s="229">
        <f t="shared" si="2"/>
        <v>0</v>
      </c>
    </row>
    <row r="93" spans="1:17">
      <c r="A93" t="str">
        <f>IF(ABS(H93)&gt;0,基础信息!$B$1,"")</f>
        <v/>
      </c>
      <c r="Q93" s="229">
        <f t="shared" si="2"/>
        <v>0</v>
      </c>
    </row>
    <row r="94" spans="1:17">
      <c r="A94" t="str">
        <f>IF(ABS(H94)&gt;0,基础信息!$B$1,"")</f>
        <v/>
      </c>
      <c r="Q94" s="229">
        <f t="shared" si="2"/>
        <v>0</v>
      </c>
    </row>
    <row r="95" spans="1:17">
      <c r="A95" t="str">
        <f>IF(ABS(H95)&gt;0,基础信息!$B$1,"")</f>
        <v/>
      </c>
      <c r="Q95" s="229">
        <f t="shared" si="2"/>
        <v>0</v>
      </c>
    </row>
    <row r="96" spans="1:17">
      <c r="A96" t="str">
        <f>IF(ABS(H96)&gt;0,基础信息!$B$1,"")</f>
        <v/>
      </c>
      <c r="Q96" s="229">
        <f t="shared" si="2"/>
        <v>0</v>
      </c>
    </row>
    <row r="97" spans="1:17">
      <c r="A97" t="str">
        <f>IF(ABS(H97)&gt;0,基础信息!$B$1,"")</f>
        <v/>
      </c>
      <c r="Q97" s="229">
        <f t="shared" si="2"/>
        <v>0</v>
      </c>
    </row>
    <row r="98" spans="1:17">
      <c r="A98" t="str">
        <f>IF(ABS(H98)&gt;0,基础信息!$B$1,"")</f>
        <v/>
      </c>
      <c r="Q98" s="229">
        <f t="shared" si="2"/>
        <v>0</v>
      </c>
    </row>
    <row r="99" spans="1:17">
      <c r="A99" t="str">
        <f>IF(ABS(H99)&gt;0,基础信息!$B$1,"")</f>
        <v/>
      </c>
      <c r="Q99" s="229">
        <f t="shared" si="2"/>
        <v>0</v>
      </c>
    </row>
    <row r="100" spans="1:17">
      <c r="A100" t="str">
        <f>IF(ABS(H100)&gt;0,基础信息!$B$1,"")</f>
        <v/>
      </c>
      <c r="Q100" s="229">
        <f t="shared" si="2"/>
        <v>0</v>
      </c>
    </row>
    <row r="101" spans="1:17">
      <c r="A101" t="str">
        <f>IF(ABS(H101)&gt;0,基础信息!$B$1,"")</f>
        <v/>
      </c>
      <c r="Q101" s="229">
        <f t="shared" si="2"/>
        <v>0</v>
      </c>
    </row>
    <row r="102" spans="1:17">
      <c r="A102" t="str">
        <f>IF(ABS(H102)&gt;0,基础信息!$B$1,"")</f>
        <v/>
      </c>
      <c r="Q102" s="229">
        <f t="shared" si="2"/>
        <v>0</v>
      </c>
    </row>
    <row r="103" spans="1:17">
      <c r="A103" t="str">
        <f>IF(ABS(H103)&gt;0,基础信息!$B$1,"")</f>
        <v/>
      </c>
      <c r="Q103" s="229">
        <f t="shared" si="2"/>
        <v>0</v>
      </c>
    </row>
    <row r="104" spans="1:17">
      <c r="A104" t="str">
        <f>IF(ABS(H104)&gt;0,基础信息!$B$1,"")</f>
        <v/>
      </c>
      <c r="Q104" s="229">
        <f t="shared" si="2"/>
        <v>0</v>
      </c>
    </row>
    <row r="105" spans="1:17">
      <c r="A105" t="str">
        <f>IF(ABS(H105)&gt;0,基础信息!$B$1,"")</f>
        <v/>
      </c>
      <c r="Q105" s="229">
        <f t="shared" si="2"/>
        <v>0</v>
      </c>
    </row>
    <row r="106" spans="1:17">
      <c r="A106" t="str">
        <f>IF(ABS(H106)&gt;0,基础信息!$B$1,"")</f>
        <v/>
      </c>
      <c r="Q106" s="229">
        <f t="shared" si="2"/>
        <v>0</v>
      </c>
    </row>
    <row r="107" spans="1:17">
      <c r="A107" t="str">
        <f>IF(ABS(H107)&gt;0,基础信息!$B$1,"")</f>
        <v/>
      </c>
      <c r="Q107" s="229">
        <f t="shared" si="2"/>
        <v>0</v>
      </c>
    </row>
    <row r="108" spans="1:17">
      <c r="A108" t="str">
        <f>IF(ABS(H108)&gt;0,基础信息!$B$1,"")</f>
        <v/>
      </c>
      <c r="Q108" s="229">
        <f t="shared" si="2"/>
        <v>0</v>
      </c>
    </row>
    <row r="109" spans="1:17">
      <c r="A109" t="str">
        <f>IF(ABS(H109)&gt;0,基础信息!$B$1,"")</f>
        <v/>
      </c>
      <c r="Q109" s="229">
        <f t="shared" si="2"/>
        <v>0</v>
      </c>
    </row>
    <row r="110" spans="1:17">
      <c r="A110" t="str">
        <f>IF(ABS(H110)&gt;0,基础信息!$B$1,"")</f>
        <v/>
      </c>
      <c r="Q110" s="229">
        <f t="shared" si="2"/>
        <v>0</v>
      </c>
    </row>
    <row r="111" spans="1:17">
      <c r="A111" t="str">
        <f>IF(ABS(H111)&gt;0,基础信息!$B$1,"")</f>
        <v/>
      </c>
      <c r="Q111" s="229">
        <f t="shared" si="2"/>
        <v>0</v>
      </c>
    </row>
    <row r="112" spans="1:17">
      <c r="A112" t="str">
        <f>IF(ABS(H112)&gt;0,基础信息!$B$1,"")</f>
        <v/>
      </c>
      <c r="Q112" s="229">
        <f t="shared" si="2"/>
        <v>0</v>
      </c>
    </row>
    <row r="113" spans="1:17">
      <c r="A113" t="str">
        <f>IF(ABS(H113)&gt;0,基础信息!$B$1,"")</f>
        <v/>
      </c>
      <c r="Q113" s="229">
        <f t="shared" si="2"/>
        <v>0</v>
      </c>
    </row>
    <row r="114" spans="1:17">
      <c r="A114" t="str">
        <f>IF(ABS(H114)&gt;0,基础信息!$B$1,"")</f>
        <v/>
      </c>
      <c r="Q114" s="229">
        <f t="shared" si="2"/>
        <v>0</v>
      </c>
    </row>
    <row r="115" spans="1:17">
      <c r="A115" t="str">
        <f>IF(ABS(H115)&gt;0,基础信息!$B$1,"")</f>
        <v/>
      </c>
      <c r="Q115" s="229">
        <f t="shared" si="2"/>
        <v>0</v>
      </c>
    </row>
    <row r="116" spans="1:17">
      <c r="A116" t="str">
        <f>IF(ABS(H116)&gt;0,基础信息!$B$1,"")</f>
        <v/>
      </c>
      <c r="Q116" s="229">
        <f t="shared" si="2"/>
        <v>0</v>
      </c>
    </row>
    <row r="117" spans="1:17">
      <c r="A117" t="str">
        <f>IF(ABS(H117)&gt;0,基础信息!$B$1,"")</f>
        <v/>
      </c>
      <c r="Q117" s="229">
        <f t="shared" si="2"/>
        <v>0</v>
      </c>
    </row>
    <row r="118" spans="1:17">
      <c r="A118" t="str">
        <f>IF(ABS(H118)&gt;0,基础信息!$B$1,"")</f>
        <v/>
      </c>
      <c r="Q118" s="229">
        <f t="shared" si="2"/>
        <v>0</v>
      </c>
    </row>
    <row r="119" spans="1:17">
      <c r="A119" t="str">
        <f>IF(ABS(H119)&gt;0,基础信息!$B$1,"")</f>
        <v/>
      </c>
      <c r="Q119" s="229">
        <f t="shared" si="2"/>
        <v>0</v>
      </c>
    </row>
    <row r="120" spans="1:17">
      <c r="A120" t="str">
        <f>IF(ABS(H120)&gt;0,基础信息!$B$1,"")</f>
        <v/>
      </c>
      <c r="Q120" s="229">
        <f t="shared" si="2"/>
        <v>0</v>
      </c>
    </row>
    <row r="121" spans="1:17">
      <c r="A121" t="str">
        <f>IF(ABS(H121)&gt;0,基础信息!$B$1,"")</f>
        <v/>
      </c>
      <c r="Q121" s="229">
        <f t="shared" si="2"/>
        <v>0</v>
      </c>
    </row>
    <row r="122" spans="1:17">
      <c r="A122" t="str">
        <f>IF(ABS(H122)&gt;0,基础信息!$B$1,"")</f>
        <v/>
      </c>
      <c r="Q122" s="229">
        <f t="shared" si="2"/>
        <v>0</v>
      </c>
    </row>
    <row r="123" spans="1:17">
      <c r="A123" t="str">
        <f>IF(ABS(H123)&gt;0,基础信息!$B$1,"")</f>
        <v/>
      </c>
      <c r="Q123" s="229">
        <f t="shared" si="2"/>
        <v>0</v>
      </c>
    </row>
    <row r="124" spans="1:17">
      <c r="A124" t="str">
        <f>IF(ABS(H124)&gt;0,基础信息!$B$1,"")</f>
        <v/>
      </c>
      <c r="Q124" s="229">
        <f t="shared" si="2"/>
        <v>0</v>
      </c>
    </row>
    <row r="125" spans="1:17">
      <c r="A125" t="str">
        <f>IF(ABS(H125)&gt;0,基础信息!$B$1,"")</f>
        <v/>
      </c>
      <c r="Q125" s="229">
        <f t="shared" si="2"/>
        <v>0</v>
      </c>
    </row>
    <row r="126" spans="1:17">
      <c r="A126" t="str">
        <f>IF(ABS(H126)&gt;0,基础信息!$B$1,"")</f>
        <v/>
      </c>
      <c r="Q126" s="229">
        <f t="shared" si="2"/>
        <v>0</v>
      </c>
    </row>
    <row r="127" spans="1:17">
      <c r="A127" t="str">
        <f>IF(ABS(H127)&gt;0,基础信息!$B$1,"")</f>
        <v/>
      </c>
      <c r="Q127" s="229">
        <f t="shared" si="2"/>
        <v>0</v>
      </c>
    </row>
    <row r="128" spans="1:17">
      <c r="A128" t="str">
        <f>IF(ABS(H128)&gt;0,基础信息!$B$1,"")</f>
        <v/>
      </c>
      <c r="Q128" s="229">
        <f t="shared" si="2"/>
        <v>0</v>
      </c>
    </row>
    <row r="129" spans="1:17">
      <c r="A129" t="str">
        <f>IF(ABS(H129)&gt;0,基础信息!$B$1,"")</f>
        <v/>
      </c>
      <c r="Q129" s="229">
        <f t="shared" si="2"/>
        <v>0</v>
      </c>
    </row>
    <row r="130" spans="1:17">
      <c r="A130" t="str">
        <f>IF(ABS(H130)&gt;0,基础信息!$B$1,"")</f>
        <v/>
      </c>
      <c r="Q130" s="229">
        <f t="shared" si="2"/>
        <v>0</v>
      </c>
    </row>
    <row r="131" spans="1:17">
      <c r="A131" t="str">
        <f>IF(ABS(H131)&gt;0,基础信息!$B$1,"")</f>
        <v/>
      </c>
      <c r="Q131" s="229">
        <f t="shared" ref="Q131:Q194" si="3">M131+N131-O131-P131</f>
        <v>0</v>
      </c>
    </row>
    <row r="132" spans="1:17">
      <c r="A132" t="str">
        <f>IF(ABS(H132)&gt;0,基础信息!$B$1,"")</f>
        <v/>
      </c>
      <c r="Q132" s="229">
        <f t="shared" si="3"/>
        <v>0</v>
      </c>
    </row>
    <row r="133" spans="1:17">
      <c r="A133" t="str">
        <f>IF(ABS(H133)&gt;0,基础信息!$B$1,"")</f>
        <v/>
      </c>
      <c r="Q133" s="229">
        <f t="shared" si="3"/>
        <v>0</v>
      </c>
    </row>
    <row r="134" spans="1:17">
      <c r="A134" t="str">
        <f>IF(ABS(H134)&gt;0,基础信息!$B$1,"")</f>
        <v/>
      </c>
      <c r="Q134" s="229">
        <f t="shared" si="3"/>
        <v>0</v>
      </c>
    </row>
    <row r="135" spans="1:17">
      <c r="A135" t="str">
        <f>IF(ABS(H135)&gt;0,基础信息!$B$1,"")</f>
        <v/>
      </c>
      <c r="Q135" s="229">
        <f t="shared" si="3"/>
        <v>0</v>
      </c>
    </row>
    <row r="136" spans="1:17">
      <c r="A136" t="str">
        <f>IF(ABS(H136)&gt;0,基础信息!$B$1,"")</f>
        <v/>
      </c>
      <c r="Q136" s="229">
        <f t="shared" si="3"/>
        <v>0</v>
      </c>
    </row>
    <row r="137" spans="1:17">
      <c r="A137" t="str">
        <f>IF(ABS(H137)&gt;0,基础信息!$B$1,"")</f>
        <v/>
      </c>
      <c r="Q137" s="229">
        <f t="shared" si="3"/>
        <v>0</v>
      </c>
    </row>
    <row r="138" spans="1:17">
      <c r="A138" t="str">
        <f>IF(ABS(H138)&gt;0,基础信息!$B$1,"")</f>
        <v/>
      </c>
      <c r="Q138" s="229">
        <f t="shared" si="3"/>
        <v>0</v>
      </c>
    </row>
    <row r="139" spans="1:17">
      <c r="A139" t="str">
        <f>IF(ABS(H139)&gt;0,基础信息!$B$1,"")</f>
        <v/>
      </c>
      <c r="Q139" s="229">
        <f t="shared" si="3"/>
        <v>0</v>
      </c>
    </row>
    <row r="140" spans="1:17">
      <c r="A140" t="str">
        <f>IF(ABS(H140)&gt;0,基础信息!$B$1,"")</f>
        <v/>
      </c>
      <c r="Q140" s="229">
        <f t="shared" si="3"/>
        <v>0</v>
      </c>
    </row>
    <row r="141" spans="1:17">
      <c r="A141" t="str">
        <f>IF(ABS(H141)&gt;0,基础信息!$B$1,"")</f>
        <v/>
      </c>
      <c r="Q141" s="229">
        <f t="shared" si="3"/>
        <v>0</v>
      </c>
    </row>
    <row r="142" spans="1:17">
      <c r="A142" t="str">
        <f>IF(ABS(H142)&gt;0,基础信息!$B$1,"")</f>
        <v/>
      </c>
      <c r="Q142" s="229">
        <f t="shared" si="3"/>
        <v>0</v>
      </c>
    </row>
    <row r="143" spans="1:17">
      <c r="A143" t="str">
        <f>IF(ABS(H143)&gt;0,基础信息!$B$1,"")</f>
        <v/>
      </c>
      <c r="Q143" s="229">
        <f t="shared" si="3"/>
        <v>0</v>
      </c>
    </row>
    <row r="144" spans="1:17">
      <c r="A144" t="str">
        <f>IF(ABS(H144)&gt;0,基础信息!$B$1,"")</f>
        <v/>
      </c>
      <c r="Q144" s="229">
        <f t="shared" si="3"/>
        <v>0</v>
      </c>
    </row>
    <row r="145" spans="1:17">
      <c r="A145" t="str">
        <f>IF(ABS(H145)&gt;0,基础信息!$B$1,"")</f>
        <v/>
      </c>
      <c r="Q145" s="229">
        <f t="shared" si="3"/>
        <v>0</v>
      </c>
    </row>
    <row r="146" spans="1:17">
      <c r="A146" t="str">
        <f>IF(ABS(H146)&gt;0,基础信息!$B$1,"")</f>
        <v/>
      </c>
      <c r="Q146" s="229">
        <f t="shared" si="3"/>
        <v>0</v>
      </c>
    </row>
    <row r="147" spans="1:17">
      <c r="A147" t="str">
        <f>IF(ABS(H147)&gt;0,基础信息!$B$1,"")</f>
        <v/>
      </c>
      <c r="Q147" s="229">
        <f t="shared" si="3"/>
        <v>0</v>
      </c>
    </row>
    <row r="148" spans="1:17">
      <c r="A148" t="str">
        <f>IF(ABS(H148)&gt;0,基础信息!$B$1,"")</f>
        <v/>
      </c>
      <c r="Q148" s="229">
        <f t="shared" si="3"/>
        <v>0</v>
      </c>
    </row>
    <row r="149" spans="1:17">
      <c r="A149" t="str">
        <f>IF(ABS(H149)&gt;0,基础信息!$B$1,"")</f>
        <v/>
      </c>
      <c r="Q149" s="229">
        <f t="shared" si="3"/>
        <v>0</v>
      </c>
    </row>
    <row r="150" spans="1:17">
      <c r="A150" t="str">
        <f>IF(ABS(H150)&gt;0,基础信息!$B$1,"")</f>
        <v/>
      </c>
      <c r="Q150" s="229">
        <f t="shared" si="3"/>
        <v>0</v>
      </c>
    </row>
    <row r="151" spans="1:17">
      <c r="A151" t="str">
        <f>IF(ABS(H151)&gt;0,基础信息!$B$1,"")</f>
        <v/>
      </c>
      <c r="Q151" s="229">
        <f t="shared" si="3"/>
        <v>0</v>
      </c>
    </row>
    <row r="152" spans="1:17">
      <c r="A152" t="str">
        <f>IF(ABS(H152)&gt;0,基础信息!$B$1,"")</f>
        <v/>
      </c>
      <c r="Q152" s="229">
        <f t="shared" si="3"/>
        <v>0</v>
      </c>
    </row>
    <row r="153" spans="1:17">
      <c r="A153" t="str">
        <f>IF(ABS(H153)&gt;0,基础信息!$B$1,"")</f>
        <v/>
      </c>
      <c r="Q153" s="229">
        <f t="shared" si="3"/>
        <v>0</v>
      </c>
    </row>
    <row r="154" spans="1:17">
      <c r="A154" t="str">
        <f>IF(ABS(H154)&gt;0,基础信息!$B$1,"")</f>
        <v/>
      </c>
      <c r="Q154" s="229">
        <f t="shared" si="3"/>
        <v>0</v>
      </c>
    </row>
    <row r="155" spans="1:17">
      <c r="A155" t="str">
        <f>IF(ABS(H155)&gt;0,基础信息!$B$1,"")</f>
        <v/>
      </c>
      <c r="Q155" s="229">
        <f t="shared" si="3"/>
        <v>0</v>
      </c>
    </row>
    <row r="156" spans="1:17">
      <c r="A156" t="str">
        <f>IF(ABS(H156)&gt;0,基础信息!$B$1,"")</f>
        <v/>
      </c>
      <c r="Q156" s="229">
        <f t="shared" si="3"/>
        <v>0</v>
      </c>
    </row>
    <row r="157" spans="1:17">
      <c r="A157" t="str">
        <f>IF(ABS(H157)&gt;0,基础信息!$B$1,"")</f>
        <v/>
      </c>
      <c r="Q157" s="229">
        <f t="shared" si="3"/>
        <v>0</v>
      </c>
    </row>
    <row r="158" spans="1:17">
      <c r="A158" t="str">
        <f>IF(ABS(H158)&gt;0,基础信息!$B$1,"")</f>
        <v/>
      </c>
      <c r="Q158" s="229">
        <f t="shared" si="3"/>
        <v>0</v>
      </c>
    </row>
    <row r="159" spans="1:17">
      <c r="A159" t="str">
        <f>IF(ABS(H159)&gt;0,基础信息!$B$1,"")</f>
        <v/>
      </c>
      <c r="Q159" s="229">
        <f t="shared" si="3"/>
        <v>0</v>
      </c>
    </row>
    <row r="160" spans="1:17">
      <c r="A160" t="str">
        <f>IF(ABS(H160)&gt;0,基础信息!$B$1,"")</f>
        <v/>
      </c>
      <c r="Q160" s="229">
        <f t="shared" si="3"/>
        <v>0</v>
      </c>
    </row>
    <row r="161" spans="1:17">
      <c r="A161" t="str">
        <f>IF(ABS(H161)&gt;0,基础信息!$B$1,"")</f>
        <v/>
      </c>
      <c r="Q161" s="229">
        <f t="shared" si="3"/>
        <v>0</v>
      </c>
    </row>
    <row r="162" spans="1:17">
      <c r="A162" t="str">
        <f>IF(ABS(H162)&gt;0,基础信息!$B$1,"")</f>
        <v/>
      </c>
      <c r="Q162" s="229">
        <f t="shared" si="3"/>
        <v>0</v>
      </c>
    </row>
    <row r="163" spans="1:17">
      <c r="A163" t="str">
        <f>IF(ABS(H163)&gt;0,基础信息!$B$1,"")</f>
        <v/>
      </c>
      <c r="Q163" s="229">
        <f t="shared" si="3"/>
        <v>0</v>
      </c>
    </row>
    <row r="164" spans="1:17">
      <c r="A164" t="str">
        <f>IF(ABS(H164)&gt;0,基础信息!$B$1,"")</f>
        <v/>
      </c>
      <c r="Q164" s="229">
        <f t="shared" si="3"/>
        <v>0</v>
      </c>
    </row>
    <row r="165" spans="1:17">
      <c r="A165" t="str">
        <f>IF(ABS(H165)&gt;0,基础信息!$B$1,"")</f>
        <v/>
      </c>
      <c r="Q165" s="229">
        <f t="shared" si="3"/>
        <v>0</v>
      </c>
    </row>
    <row r="166" spans="1:17">
      <c r="A166" t="str">
        <f>IF(ABS(H166)&gt;0,基础信息!$B$1,"")</f>
        <v/>
      </c>
      <c r="Q166" s="229">
        <f t="shared" si="3"/>
        <v>0</v>
      </c>
    </row>
    <row r="167" spans="1:17">
      <c r="A167" t="str">
        <f>IF(ABS(H167)&gt;0,基础信息!$B$1,"")</f>
        <v/>
      </c>
      <c r="Q167" s="229">
        <f t="shared" si="3"/>
        <v>0</v>
      </c>
    </row>
    <row r="168" spans="1:17">
      <c r="A168" t="str">
        <f>IF(ABS(H168)&gt;0,基础信息!$B$1,"")</f>
        <v/>
      </c>
      <c r="Q168" s="229">
        <f t="shared" si="3"/>
        <v>0</v>
      </c>
    </row>
    <row r="169" spans="1:17">
      <c r="A169" t="str">
        <f>IF(ABS(H169)&gt;0,基础信息!$B$1,"")</f>
        <v/>
      </c>
      <c r="Q169" s="229">
        <f t="shared" si="3"/>
        <v>0</v>
      </c>
    </row>
    <row r="170" spans="1:17">
      <c r="A170" t="str">
        <f>IF(ABS(H170)&gt;0,基础信息!$B$1,"")</f>
        <v/>
      </c>
      <c r="Q170" s="229">
        <f t="shared" si="3"/>
        <v>0</v>
      </c>
    </row>
    <row r="171" spans="1:17">
      <c r="A171" t="str">
        <f>IF(ABS(H171)&gt;0,基础信息!$B$1,"")</f>
        <v/>
      </c>
      <c r="Q171" s="229">
        <f t="shared" si="3"/>
        <v>0</v>
      </c>
    </row>
    <row r="172" spans="1:17">
      <c r="A172" t="str">
        <f>IF(ABS(H172)&gt;0,基础信息!$B$1,"")</f>
        <v/>
      </c>
      <c r="Q172" s="229">
        <f t="shared" si="3"/>
        <v>0</v>
      </c>
    </row>
    <row r="173" spans="1:17">
      <c r="A173" t="str">
        <f>IF(ABS(H173)&gt;0,基础信息!$B$1,"")</f>
        <v/>
      </c>
      <c r="Q173" s="229">
        <f t="shared" si="3"/>
        <v>0</v>
      </c>
    </row>
    <row r="174" spans="1:17">
      <c r="A174" t="str">
        <f>IF(ABS(H174)&gt;0,基础信息!$B$1,"")</f>
        <v/>
      </c>
      <c r="Q174" s="229">
        <f t="shared" si="3"/>
        <v>0</v>
      </c>
    </row>
    <row r="175" spans="1:17">
      <c r="A175" t="str">
        <f>IF(ABS(H175)&gt;0,基础信息!$B$1,"")</f>
        <v/>
      </c>
      <c r="Q175" s="229">
        <f t="shared" si="3"/>
        <v>0</v>
      </c>
    </row>
    <row r="176" spans="1:17">
      <c r="A176" t="str">
        <f>IF(ABS(H176)&gt;0,基础信息!$B$1,"")</f>
        <v/>
      </c>
      <c r="Q176" s="229">
        <f t="shared" si="3"/>
        <v>0</v>
      </c>
    </row>
    <row r="177" spans="1:17">
      <c r="A177" t="str">
        <f>IF(ABS(H177)&gt;0,基础信息!$B$1,"")</f>
        <v/>
      </c>
      <c r="Q177" s="229">
        <f t="shared" si="3"/>
        <v>0</v>
      </c>
    </row>
    <row r="178" spans="1:17">
      <c r="A178" t="str">
        <f>IF(ABS(H178)&gt;0,基础信息!$B$1,"")</f>
        <v/>
      </c>
      <c r="Q178" s="229">
        <f t="shared" si="3"/>
        <v>0</v>
      </c>
    </row>
    <row r="179" spans="1:17">
      <c r="A179" t="str">
        <f>IF(ABS(H179)&gt;0,基础信息!$B$1,"")</f>
        <v/>
      </c>
      <c r="Q179" s="229">
        <f t="shared" si="3"/>
        <v>0</v>
      </c>
    </row>
    <row r="180" spans="1:17">
      <c r="A180" t="str">
        <f>IF(ABS(H180)&gt;0,基础信息!$B$1,"")</f>
        <v/>
      </c>
      <c r="Q180" s="229">
        <f t="shared" si="3"/>
        <v>0</v>
      </c>
    </row>
    <row r="181" spans="1:17">
      <c r="A181" t="str">
        <f>IF(ABS(H181)&gt;0,基础信息!$B$1,"")</f>
        <v/>
      </c>
      <c r="Q181" s="229">
        <f t="shared" si="3"/>
        <v>0</v>
      </c>
    </row>
    <row r="182" spans="1:17">
      <c r="A182" t="str">
        <f>IF(ABS(H182)&gt;0,基础信息!$B$1,"")</f>
        <v/>
      </c>
      <c r="Q182" s="229">
        <f t="shared" si="3"/>
        <v>0</v>
      </c>
    </row>
    <row r="183" spans="1:17">
      <c r="A183" t="str">
        <f>IF(ABS(H183)&gt;0,基础信息!$B$1,"")</f>
        <v/>
      </c>
      <c r="Q183" s="229">
        <f t="shared" si="3"/>
        <v>0</v>
      </c>
    </row>
    <row r="184" spans="1:17">
      <c r="A184" t="str">
        <f>IF(ABS(H184)&gt;0,基础信息!$B$1,"")</f>
        <v/>
      </c>
      <c r="Q184" s="229">
        <f t="shared" si="3"/>
        <v>0</v>
      </c>
    </row>
    <row r="185" spans="1:17">
      <c r="A185" t="str">
        <f>IF(ABS(H185)&gt;0,基础信息!$B$1,"")</f>
        <v/>
      </c>
      <c r="Q185" s="229">
        <f t="shared" si="3"/>
        <v>0</v>
      </c>
    </row>
    <row r="186" spans="1:17">
      <c r="A186" t="str">
        <f>IF(ABS(H186)&gt;0,基础信息!$B$1,"")</f>
        <v/>
      </c>
      <c r="Q186" s="229">
        <f t="shared" si="3"/>
        <v>0</v>
      </c>
    </row>
    <row r="187" spans="1:17">
      <c r="A187" t="str">
        <f>IF(ABS(H187)&gt;0,基础信息!$B$1,"")</f>
        <v/>
      </c>
      <c r="Q187" s="229">
        <f t="shared" si="3"/>
        <v>0</v>
      </c>
    </row>
    <row r="188" spans="1:17">
      <c r="A188" t="str">
        <f>IF(ABS(H188)&gt;0,基础信息!$B$1,"")</f>
        <v/>
      </c>
      <c r="Q188" s="229">
        <f t="shared" si="3"/>
        <v>0</v>
      </c>
    </row>
    <row r="189" spans="1:17">
      <c r="A189" t="str">
        <f>IF(ABS(H189)&gt;0,基础信息!$B$1,"")</f>
        <v/>
      </c>
      <c r="Q189" s="229">
        <f t="shared" si="3"/>
        <v>0</v>
      </c>
    </row>
    <row r="190" spans="1:17">
      <c r="A190" t="str">
        <f>IF(ABS(H190)&gt;0,基础信息!$B$1,"")</f>
        <v/>
      </c>
      <c r="Q190" s="229">
        <f t="shared" si="3"/>
        <v>0</v>
      </c>
    </row>
    <row r="191" spans="1:17">
      <c r="A191" t="str">
        <f>IF(ABS(H191)&gt;0,基础信息!$B$1,"")</f>
        <v/>
      </c>
      <c r="Q191" s="229">
        <f t="shared" si="3"/>
        <v>0</v>
      </c>
    </row>
    <row r="192" spans="1:17">
      <c r="A192" t="str">
        <f>IF(ABS(H192)&gt;0,基础信息!$B$1,"")</f>
        <v/>
      </c>
      <c r="Q192" s="229">
        <f t="shared" si="3"/>
        <v>0</v>
      </c>
    </row>
    <row r="193" spans="1:17">
      <c r="A193" t="str">
        <f>IF(ABS(H193)&gt;0,基础信息!$B$1,"")</f>
        <v/>
      </c>
      <c r="Q193" s="229">
        <f t="shared" si="3"/>
        <v>0</v>
      </c>
    </row>
    <row r="194" spans="1:17">
      <c r="A194" t="str">
        <f>IF(ABS(H194)&gt;0,基础信息!$B$1,"")</f>
        <v/>
      </c>
      <c r="Q194" s="229">
        <f t="shared" si="3"/>
        <v>0</v>
      </c>
    </row>
    <row r="195" spans="1:17">
      <c r="A195" t="str">
        <f>IF(ABS(H195)&gt;0,基础信息!$B$1,"")</f>
        <v/>
      </c>
      <c r="Q195" s="229">
        <f t="shared" ref="Q195:Q258" si="4">M195+N195-O195-P195</f>
        <v>0</v>
      </c>
    </row>
    <row r="196" spans="1:17">
      <c r="A196" t="str">
        <f>IF(ABS(H196)&gt;0,基础信息!$B$1,"")</f>
        <v/>
      </c>
      <c r="Q196" s="229">
        <f t="shared" si="4"/>
        <v>0</v>
      </c>
    </row>
    <row r="197" spans="1:17">
      <c r="A197" t="str">
        <f>IF(ABS(H197)&gt;0,基础信息!$B$1,"")</f>
        <v/>
      </c>
      <c r="Q197" s="229">
        <f t="shared" si="4"/>
        <v>0</v>
      </c>
    </row>
    <row r="198" spans="1:17">
      <c r="A198" t="str">
        <f>IF(ABS(H198)&gt;0,基础信息!$B$1,"")</f>
        <v/>
      </c>
      <c r="Q198" s="229">
        <f t="shared" si="4"/>
        <v>0</v>
      </c>
    </row>
    <row r="199" spans="1:17">
      <c r="A199" t="str">
        <f>IF(ABS(H199)&gt;0,基础信息!$B$1,"")</f>
        <v/>
      </c>
      <c r="Q199" s="229">
        <f t="shared" si="4"/>
        <v>0</v>
      </c>
    </row>
    <row r="200" spans="1:17">
      <c r="A200" t="str">
        <f>IF(ABS(H200)&gt;0,基础信息!$B$1,"")</f>
        <v/>
      </c>
      <c r="Q200" s="229">
        <f t="shared" si="4"/>
        <v>0</v>
      </c>
    </row>
    <row r="201" spans="1:17">
      <c r="A201" t="str">
        <f>IF(ABS(H201)&gt;0,基础信息!$B$1,"")</f>
        <v/>
      </c>
      <c r="Q201" s="229">
        <f t="shared" si="4"/>
        <v>0</v>
      </c>
    </row>
    <row r="202" spans="1:17">
      <c r="A202" t="str">
        <f>IF(ABS(H202)&gt;0,基础信息!$B$1,"")</f>
        <v/>
      </c>
      <c r="Q202" s="229">
        <f t="shared" si="4"/>
        <v>0</v>
      </c>
    </row>
    <row r="203" spans="1:17">
      <c r="A203" t="str">
        <f>IF(ABS(H203)&gt;0,基础信息!$B$1,"")</f>
        <v/>
      </c>
      <c r="Q203" s="229">
        <f t="shared" si="4"/>
        <v>0</v>
      </c>
    </row>
    <row r="204" spans="1:17">
      <c r="A204" t="str">
        <f>IF(ABS(H204)&gt;0,基础信息!$B$1,"")</f>
        <v/>
      </c>
      <c r="Q204" s="229">
        <f t="shared" si="4"/>
        <v>0</v>
      </c>
    </row>
    <row r="205" spans="1:17">
      <c r="A205" t="str">
        <f>IF(ABS(H205)&gt;0,基础信息!$B$1,"")</f>
        <v/>
      </c>
      <c r="Q205" s="229">
        <f t="shared" si="4"/>
        <v>0</v>
      </c>
    </row>
    <row r="206" spans="1:17">
      <c r="A206" t="str">
        <f>IF(ABS(H206)&gt;0,基础信息!$B$1,"")</f>
        <v/>
      </c>
      <c r="Q206" s="229">
        <f t="shared" si="4"/>
        <v>0</v>
      </c>
    </row>
    <row r="207" spans="1:17">
      <c r="A207" t="str">
        <f>IF(ABS(H207)&gt;0,基础信息!$B$1,"")</f>
        <v/>
      </c>
      <c r="Q207" s="229">
        <f t="shared" si="4"/>
        <v>0</v>
      </c>
    </row>
    <row r="208" spans="1:17">
      <c r="A208" t="str">
        <f>IF(ABS(H208)&gt;0,基础信息!$B$1,"")</f>
        <v/>
      </c>
      <c r="Q208" s="229">
        <f t="shared" si="4"/>
        <v>0</v>
      </c>
    </row>
    <row r="209" spans="1:17">
      <c r="A209" t="str">
        <f>IF(ABS(H209)&gt;0,基础信息!$B$1,"")</f>
        <v/>
      </c>
      <c r="Q209" s="229">
        <f t="shared" si="4"/>
        <v>0</v>
      </c>
    </row>
    <row r="210" spans="1:17">
      <c r="A210" t="str">
        <f>IF(ABS(H210)&gt;0,基础信息!$B$1,"")</f>
        <v/>
      </c>
      <c r="Q210" s="229">
        <f t="shared" si="4"/>
        <v>0</v>
      </c>
    </row>
    <row r="211" spans="1:17">
      <c r="A211" t="str">
        <f>IF(ABS(H211)&gt;0,基础信息!$B$1,"")</f>
        <v/>
      </c>
      <c r="Q211" s="229">
        <f t="shared" si="4"/>
        <v>0</v>
      </c>
    </row>
    <row r="212" spans="1:17">
      <c r="A212" t="str">
        <f>IF(ABS(H212)&gt;0,基础信息!$B$1,"")</f>
        <v/>
      </c>
      <c r="Q212" s="229">
        <f t="shared" si="4"/>
        <v>0</v>
      </c>
    </row>
    <row r="213" spans="1:17">
      <c r="A213" t="str">
        <f>IF(ABS(H213)&gt;0,基础信息!$B$1,"")</f>
        <v/>
      </c>
      <c r="Q213" s="229">
        <f t="shared" si="4"/>
        <v>0</v>
      </c>
    </row>
    <row r="214" spans="1:17">
      <c r="A214" t="str">
        <f>IF(ABS(H214)&gt;0,基础信息!$B$1,"")</f>
        <v/>
      </c>
      <c r="Q214" s="229">
        <f t="shared" si="4"/>
        <v>0</v>
      </c>
    </row>
    <row r="215" spans="1:17">
      <c r="A215" t="str">
        <f>IF(ABS(H215)&gt;0,基础信息!$B$1,"")</f>
        <v/>
      </c>
      <c r="Q215" s="229">
        <f t="shared" si="4"/>
        <v>0</v>
      </c>
    </row>
    <row r="216" spans="1:17">
      <c r="A216" t="str">
        <f>IF(ABS(H216)&gt;0,基础信息!$B$1,"")</f>
        <v/>
      </c>
      <c r="Q216" s="229">
        <f t="shared" si="4"/>
        <v>0</v>
      </c>
    </row>
    <row r="217" spans="1:17">
      <c r="A217" t="str">
        <f>IF(ABS(H217)&gt;0,基础信息!$B$1,"")</f>
        <v/>
      </c>
      <c r="Q217" s="229">
        <f t="shared" si="4"/>
        <v>0</v>
      </c>
    </row>
    <row r="218" spans="1:17">
      <c r="A218" t="str">
        <f>IF(ABS(H218)&gt;0,基础信息!$B$1,"")</f>
        <v/>
      </c>
      <c r="Q218" s="229">
        <f t="shared" si="4"/>
        <v>0</v>
      </c>
    </row>
    <row r="219" spans="1:17">
      <c r="A219" t="str">
        <f>IF(ABS(H219)&gt;0,基础信息!$B$1,"")</f>
        <v/>
      </c>
      <c r="Q219" s="229">
        <f t="shared" si="4"/>
        <v>0</v>
      </c>
    </row>
    <row r="220" spans="1:17">
      <c r="A220" t="str">
        <f>IF(ABS(H220)&gt;0,基础信息!$B$1,"")</f>
        <v/>
      </c>
      <c r="Q220" s="229">
        <f t="shared" si="4"/>
        <v>0</v>
      </c>
    </row>
    <row r="221" spans="1:17">
      <c r="A221" t="str">
        <f>IF(ABS(H221)&gt;0,基础信息!$B$1,"")</f>
        <v/>
      </c>
      <c r="Q221" s="229">
        <f t="shared" si="4"/>
        <v>0</v>
      </c>
    </row>
    <row r="222" spans="1:17">
      <c r="A222" t="str">
        <f>IF(ABS(H222)&gt;0,基础信息!$B$1,"")</f>
        <v/>
      </c>
      <c r="Q222" s="229">
        <f t="shared" si="4"/>
        <v>0</v>
      </c>
    </row>
    <row r="223" spans="1:17">
      <c r="A223" t="str">
        <f>IF(ABS(H223)&gt;0,基础信息!$B$1,"")</f>
        <v/>
      </c>
      <c r="Q223" s="229">
        <f t="shared" si="4"/>
        <v>0</v>
      </c>
    </row>
    <row r="224" spans="1:17">
      <c r="A224" t="str">
        <f>IF(ABS(H224)&gt;0,基础信息!$B$1,"")</f>
        <v/>
      </c>
      <c r="Q224" s="229">
        <f t="shared" si="4"/>
        <v>0</v>
      </c>
    </row>
    <row r="225" spans="1:17">
      <c r="A225" t="str">
        <f>IF(ABS(H225)&gt;0,基础信息!$B$1,"")</f>
        <v/>
      </c>
      <c r="Q225" s="229">
        <f t="shared" si="4"/>
        <v>0</v>
      </c>
    </row>
    <row r="226" spans="1:17">
      <c r="A226" t="str">
        <f>IF(ABS(H226)&gt;0,基础信息!$B$1,"")</f>
        <v/>
      </c>
      <c r="Q226" s="229">
        <f t="shared" si="4"/>
        <v>0</v>
      </c>
    </row>
    <row r="227" spans="1:17">
      <c r="A227" t="str">
        <f>IF(ABS(H227)&gt;0,基础信息!$B$1,"")</f>
        <v/>
      </c>
      <c r="Q227" s="229">
        <f t="shared" si="4"/>
        <v>0</v>
      </c>
    </row>
    <row r="228" spans="1:17">
      <c r="A228" t="str">
        <f>IF(ABS(H228)&gt;0,基础信息!$B$1,"")</f>
        <v/>
      </c>
      <c r="Q228" s="229">
        <f t="shared" si="4"/>
        <v>0</v>
      </c>
    </row>
    <row r="229" spans="1:17">
      <c r="A229" t="str">
        <f>IF(ABS(H229)&gt;0,基础信息!$B$1,"")</f>
        <v/>
      </c>
      <c r="Q229" s="229">
        <f t="shared" si="4"/>
        <v>0</v>
      </c>
    </row>
    <row r="230" spans="1:17">
      <c r="A230" t="str">
        <f>IF(ABS(H230)&gt;0,基础信息!$B$1,"")</f>
        <v/>
      </c>
      <c r="Q230" s="229">
        <f t="shared" si="4"/>
        <v>0</v>
      </c>
    </row>
    <row r="231" spans="1:17">
      <c r="A231" t="str">
        <f>IF(ABS(H231)&gt;0,基础信息!$B$1,"")</f>
        <v/>
      </c>
      <c r="Q231" s="229">
        <f t="shared" si="4"/>
        <v>0</v>
      </c>
    </row>
    <row r="232" spans="1:17">
      <c r="A232" t="str">
        <f>IF(ABS(H232)&gt;0,基础信息!$B$1,"")</f>
        <v/>
      </c>
      <c r="Q232" s="229">
        <f t="shared" si="4"/>
        <v>0</v>
      </c>
    </row>
    <row r="233" spans="1:17">
      <c r="A233" t="str">
        <f>IF(ABS(H233)&gt;0,基础信息!$B$1,"")</f>
        <v/>
      </c>
      <c r="Q233" s="229">
        <f t="shared" si="4"/>
        <v>0</v>
      </c>
    </row>
    <row r="234" spans="1:17">
      <c r="A234" t="str">
        <f>IF(ABS(H234)&gt;0,基础信息!$B$1,"")</f>
        <v/>
      </c>
      <c r="Q234" s="229">
        <f t="shared" si="4"/>
        <v>0</v>
      </c>
    </row>
    <row r="235" spans="1:17">
      <c r="A235" t="str">
        <f>IF(ABS(H235)&gt;0,基础信息!$B$1,"")</f>
        <v/>
      </c>
      <c r="Q235" s="229">
        <f t="shared" si="4"/>
        <v>0</v>
      </c>
    </row>
    <row r="236" spans="1:17">
      <c r="A236" t="str">
        <f>IF(ABS(H236)&gt;0,基础信息!$B$1,"")</f>
        <v/>
      </c>
      <c r="Q236" s="229">
        <f t="shared" si="4"/>
        <v>0</v>
      </c>
    </row>
    <row r="237" spans="1:17">
      <c r="A237" t="str">
        <f>IF(ABS(H237)&gt;0,基础信息!$B$1,"")</f>
        <v/>
      </c>
      <c r="Q237" s="229">
        <f t="shared" si="4"/>
        <v>0</v>
      </c>
    </row>
    <row r="238" spans="1:17">
      <c r="A238" t="str">
        <f>IF(ABS(H238)&gt;0,基础信息!$B$1,"")</f>
        <v/>
      </c>
      <c r="Q238" s="229">
        <f t="shared" si="4"/>
        <v>0</v>
      </c>
    </row>
    <row r="239" spans="1:17">
      <c r="A239" t="str">
        <f>IF(ABS(H239)&gt;0,基础信息!$B$1,"")</f>
        <v/>
      </c>
      <c r="Q239" s="229">
        <f t="shared" si="4"/>
        <v>0</v>
      </c>
    </row>
    <row r="240" spans="1:17">
      <c r="A240" t="str">
        <f>IF(ABS(H240)&gt;0,基础信息!$B$1,"")</f>
        <v/>
      </c>
      <c r="Q240" s="229">
        <f t="shared" si="4"/>
        <v>0</v>
      </c>
    </row>
    <row r="241" spans="1:17">
      <c r="A241" t="str">
        <f>IF(ABS(H241)&gt;0,基础信息!$B$1,"")</f>
        <v/>
      </c>
      <c r="Q241" s="229">
        <f t="shared" si="4"/>
        <v>0</v>
      </c>
    </row>
    <row r="242" spans="1:17">
      <c r="A242" t="str">
        <f>IF(ABS(H242)&gt;0,基础信息!$B$1,"")</f>
        <v/>
      </c>
      <c r="Q242" s="229">
        <f t="shared" si="4"/>
        <v>0</v>
      </c>
    </row>
    <row r="243" spans="1:17">
      <c r="A243" t="str">
        <f>IF(ABS(H243)&gt;0,基础信息!$B$1,"")</f>
        <v/>
      </c>
      <c r="Q243" s="229">
        <f t="shared" si="4"/>
        <v>0</v>
      </c>
    </row>
    <row r="244" spans="1:17">
      <c r="A244" t="str">
        <f>IF(ABS(H244)&gt;0,基础信息!$B$1,"")</f>
        <v/>
      </c>
      <c r="Q244" s="229">
        <f t="shared" si="4"/>
        <v>0</v>
      </c>
    </row>
    <row r="245" spans="1:17">
      <c r="A245" t="str">
        <f>IF(ABS(H245)&gt;0,基础信息!$B$1,"")</f>
        <v/>
      </c>
      <c r="Q245" s="229">
        <f t="shared" si="4"/>
        <v>0</v>
      </c>
    </row>
    <row r="246" spans="1:17">
      <c r="A246" t="str">
        <f>IF(ABS(H246)&gt;0,基础信息!$B$1,"")</f>
        <v/>
      </c>
      <c r="Q246" s="229">
        <f t="shared" si="4"/>
        <v>0</v>
      </c>
    </row>
    <row r="247" spans="1:17">
      <c r="A247" t="str">
        <f>IF(ABS(H247)&gt;0,基础信息!$B$1,"")</f>
        <v/>
      </c>
      <c r="Q247" s="229">
        <f t="shared" si="4"/>
        <v>0</v>
      </c>
    </row>
    <row r="248" spans="1:17">
      <c r="A248" t="str">
        <f>IF(ABS(H248)&gt;0,基础信息!$B$1,"")</f>
        <v/>
      </c>
      <c r="Q248" s="229">
        <f t="shared" si="4"/>
        <v>0</v>
      </c>
    </row>
    <row r="249" spans="1:17">
      <c r="A249" t="str">
        <f>IF(ABS(H249)&gt;0,基础信息!$B$1,"")</f>
        <v/>
      </c>
      <c r="Q249" s="229">
        <f t="shared" si="4"/>
        <v>0</v>
      </c>
    </row>
    <row r="250" spans="1:17">
      <c r="A250" t="str">
        <f>IF(ABS(H250)&gt;0,基础信息!$B$1,"")</f>
        <v/>
      </c>
      <c r="Q250" s="229">
        <f t="shared" si="4"/>
        <v>0</v>
      </c>
    </row>
    <row r="251" spans="1:17">
      <c r="A251" t="str">
        <f>IF(ABS(H251)&gt;0,基础信息!$B$1,"")</f>
        <v/>
      </c>
      <c r="Q251" s="229">
        <f t="shared" si="4"/>
        <v>0</v>
      </c>
    </row>
    <row r="252" spans="1:17">
      <c r="A252" t="str">
        <f>IF(ABS(H252)&gt;0,基础信息!$B$1,"")</f>
        <v/>
      </c>
      <c r="Q252" s="229">
        <f t="shared" si="4"/>
        <v>0</v>
      </c>
    </row>
    <row r="253" spans="1:17">
      <c r="A253" t="str">
        <f>IF(ABS(H253)&gt;0,基础信息!$B$1,"")</f>
        <v/>
      </c>
      <c r="Q253" s="229">
        <f t="shared" si="4"/>
        <v>0</v>
      </c>
    </row>
    <row r="254" spans="1:17">
      <c r="A254" t="str">
        <f>IF(ABS(H254)&gt;0,基础信息!$B$1,"")</f>
        <v/>
      </c>
      <c r="Q254" s="229">
        <f t="shared" si="4"/>
        <v>0</v>
      </c>
    </row>
    <row r="255" spans="1:17">
      <c r="A255" t="str">
        <f>IF(ABS(H255)&gt;0,基础信息!$B$1,"")</f>
        <v/>
      </c>
      <c r="Q255" s="229">
        <f t="shared" si="4"/>
        <v>0</v>
      </c>
    </row>
    <row r="256" spans="1:17">
      <c r="A256" t="str">
        <f>IF(ABS(H256)&gt;0,基础信息!$B$1,"")</f>
        <v/>
      </c>
      <c r="Q256" s="229">
        <f t="shared" si="4"/>
        <v>0</v>
      </c>
    </row>
    <row r="257" spans="1:17">
      <c r="A257" t="str">
        <f>IF(ABS(H257)&gt;0,基础信息!$B$1,"")</f>
        <v/>
      </c>
      <c r="Q257" s="229">
        <f t="shared" si="4"/>
        <v>0</v>
      </c>
    </row>
    <row r="258" spans="1:17">
      <c r="A258" t="str">
        <f>IF(ABS(H258)&gt;0,基础信息!$B$1,"")</f>
        <v/>
      </c>
      <c r="Q258" s="229">
        <f t="shared" si="4"/>
        <v>0</v>
      </c>
    </row>
    <row r="259" spans="1:17">
      <c r="A259" t="str">
        <f>IF(ABS(H259)&gt;0,基础信息!$B$1,"")</f>
        <v/>
      </c>
      <c r="Q259" s="229">
        <f t="shared" ref="Q259:Q322" si="5">M259+N259-O259-P259</f>
        <v>0</v>
      </c>
    </row>
    <row r="260" spans="1:17">
      <c r="A260" t="str">
        <f>IF(ABS(H260)&gt;0,基础信息!$B$1,"")</f>
        <v/>
      </c>
      <c r="Q260" s="229">
        <f t="shared" si="5"/>
        <v>0</v>
      </c>
    </row>
    <row r="261" spans="1:17">
      <c r="A261" t="str">
        <f>IF(ABS(H261)&gt;0,基础信息!$B$1,"")</f>
        <v/>
      </c>
      <c r="Q261" s="229">
        <f t="shared" si="5"/>
        <v>0</v>
      </c>
    </row>
    <row r="262" spans="1:17">
      <c r="A262" t="str">
        <f>IF(ABS(H262)&gt;0,基础信息!$B$1,"")</f>
        <v/>
      </c>
      <c r="Q262" s="229">
        <f t="shared" si="5"/>
        <v>0</v>
      </c>
    </row>
    <row r="263" spans="1:17">
      <c r="A263" t="str">
        <f>IF(ABS(H263)&gt;0,基础信息!$B$1,"")</f>
        <v/>
      </c>
      <c r="Q263" s="229">
        <f t="shared" si="5"/>
        <v>0</v>
      </c>
    </row>
    <row r="264" spans="1:17">
      <c r="A264" t="str">
        <f>IF(ABS(H264)&gt;0,基础信息!$B$1,"")</f>
        <v/>
      </c>
      <c r="Q264" s="229">
        <f t="shared" si="5"/>
        <v>0</v>
      </c>
    </row>
    <row r="265" spans="1:17">
      <c r="A265" t="str">
        <f>IF(ABS(H265)&gt;0,基础信息!$B$1,"")</f>
        <v/>
      </c>
      <c r="Q265" s="229">
        <f t="shared" si="5"/>
        <v>0</v>
      </c>
    </row>
    <row r="266" spans="1:17">
      <c r="A266" t="str">
        <f>IF(ABS(H266)&gt;0,基础信息!$B$1,"")</f>
        <v/>
      </c>
      <c r="Q266" s="229">
        <f t="shared" si="5"/>
        <v>0</v>
      </c>
    </row>
    <row r="267" spans="1:17">
      <c r="A267" t="str">
        <f>IF(ABS(H267)&gt;0,基础信息!$B$1,"")</f>
        <v/>
      </c>
      <c r="Q267" s="229">
        <f t="shared" si="5"/>
        <v>0</v>
      </c>
    </row>
    <row r="268" spans="1:17">
      <c r="A268" t="str">
        <f>IF(ABS(H268)&gt;0,基础信息!$B$1,"")</f>
        <v/>
      </c>
      <c r="Q268" s="229">
        <f t="shared" si="5"/>
        <v>0</v>
      </c>
    </row>
    <row r="269" spans="1:17">
      <c r="A269" t="str">
        <f>IF(ABS(H269)&gt;0,基础信息!$B$1,"")</f>
        <v/>
      </c>
      <c r="Q269" s="229">
        <f t="shared" si="5"/>
        <v>0</v>
      </c>
    </row>
    <row r="270" spans="1:17">
      <c r="A270" t="str">
        <f>IF(ABS(H270)&gt;0,基础信息!$B$1,"")</f>
        <v/>
      </c>
      <c r="Q270" s="229">
        <f t="shared" si="5"/>
        <v>0</v>
      </c>
    </row>
    <row r="271" spans="1:17">
      <c r="A271" t="str">
        <f>IF(ABS(H271)&gt;0,基础信息!$B$1,"")</f>
        <v/>
      </c>
      <c r="Q271" s="229">
        <f t="shared" si="5"/>
        <v>0</v>
      </c>
    </row>
    <row r="272" spans="1:17">
      <c r="A272" t="str">
        <f>IF(ABS(H272)&gt;0,基础信息!$B$1,"")</f>
        <v/>
      </c>
      <c r="Q272" s="229">
        <f t="shared" si="5"/>
        <v>0</v>
      </c>
    </row>
    <row r="273" spans="1:17">
      <c r="A273" t="str">
        <f>IF(ABS(H273)&gt;0,基础信息!$B$1,"")</f>
        <v/>
      </c>
      <c r="Q273" s="229">
        <f t="shared" si="5"/>
        <v>0</v>
      </c>
    </row>
    <row r="274" spans="1:17">
      <c r="A274" t="str">
        <f>IF(ABS(H274)&gt;0,基础信息!$B$1,"")</f>
        <v/>
      </c>
      <c r="Q274" s="229">
        <f t="shared" si="5"/>
        <v>0</v>
      </c>
    </row>
    <row r="275" spans="1:17">
      <c r="A275" t="str">
        <f>IF(ABS(H275)&gt;0,基础信息!$B$1,"")</f>
        <v/>
      </c>
      <c r="Q275" s="229">
        <f t="shared" si="5"/>
        <v>0</v>
      </c>
    </row>
    <row r="276" spans="1:17">
      <c r="A276" t="str">
        <f>IF(ABS(H276)&gt;0,基础信息!$B$1,"")</f>
        <v/>
      </c>
      <c r="Q276" s="229">
        <f t="shared" si="5"/>
        <v>0</v>
      </c>
    </row>
    <row r="277" spans="1:17">
      <c r="A277" t="str">
        <f>IF(ABS(H277)&gt;0,基础信息!$B$1,"")</f>
        <v/>
      </c>
      <c r="Q277" s="229">
        <f t="shared" si="5"/>
        <v>0</v>
      </c>
    </row>
    <row r="278" spans="1:17">
      <c r="A278" t="str">
        <f>IF(ABS(H278)&gt;0,基础信息!$B$1,"")</f>
        <v/>
      </c>
      <c r="Q278" s="229">
        <f t="shared" si="5"/>
        <v>0</v>
      </c>
    </row>
    <row r="279" spans="1:17">
      <c r="A279" t="str">
        <f>IF(ABS(H279)&gt;0,基础信息!$B$1,"")</f>
        <v/>
      </c>
      <c r="Q279" s="229">
        <f t="shared" si="5"/>
        <v>0</v>
      </c>
    </row>
    <row r="280" spans="1:17">
      <c r="A280" t="str">
        <f>IF(ABS(H280)&gt;0,基础信息!$B$1,"")</f>
        <v/>
      </c>
      <c r="Q280" s="229">
        <f t="shared" si="5"/>
        <v>0</v>
      </c>
    </row>
    <row r="281" spans="1:17">
      <c r="A281" t="str">
        <f>IF(ABS(H281)&gt;0,基础信息!$B$1,"")</f>
        <v/>
      </c>
      <c r="Q281" s="229">
        <f t="shared" si="5"/>
        <v>0</v>
      </c>
    </row>
    <row r="282" spans="1:17">
      <c r="A282" t="str">
        <f>IF(ABS(H282)&gt;0,基础信息!$B$1,"")</f>
        <v/>
      </c>
      <c r="Q282" s="229">
        <f t="shared" si="5"/>
        <v>0</v>
      </c>
    </row>
    <row r="283" spans="1:17">
      <c r="A283" t="str">
        <f>IF(ABS(H283)&gt;0,基础信息!$B$1,"")</f>
        <v/>
      </c>
      <c r="Q283" s="229">
        <f t="shared" si="5"/>
        <v>0</v>
      </c>
    </row>
    <row r="284" spans="1:17">
      <c r="A284" t="str">
        <f>IF(ABS(H284)&gt;0,基础信息!$B$1,"")</f>
        <v/>
      </c>
      <c r="Q284" s="229">
        <f t="shared" si="5"/>
        <v>0</v>
      </c>
    </row>
    <row r="285" spans="1:17">
      <c r="A285" t="str">
        <f>IF(ABS(H285)&gt;0,基础信息!$B$1,"")</f>
        <v/>
      </c>
      <c r="Q285" s="229">
        <f t="shared" si="5"/>
        <v>0</v>
      </c>
    </row>
    <row r="286" spans="1:17">
      <c r="A286" t="str">
        <f>IF(ABS(H286)&gt;0,基础信息!$B$1,"")</f>
        <v/>
      </c>
      <c r="Q286" s="229">
        <f t="shared" si="5"/>
        <v>0</v>
      </c>
    </row>
    <row r="287" spans="1:17">
      <c r="A287" t="str">
        <f>IF(ABS(H287)&gt;0,基础信息!$B$1,"")</f>
        <v/>
      </c>
      <c r="Q287" s="229">
        <f t="shared" si="5"/>
        <v>0</v>
      </c>
    </row>
    <row r="288" spans="1:17">
      <c r="A288" t="str">
        <f>IF(ABS(H288)&gt;0,基础信息!$B$1,"")</f>
        <v/>
      </c>
      <c r="Q288" s="229">
        <f t="shared" si="5"/>
        <v>0</v>
      </c>
    </row>
    <row r="289" spans="1:17">
      <c r="A289" t="str">
        <f>IF(ABS(H289)&gt;0,基础信息!$B$1,"")</f>
        <v/>
      </c>
      <c r="Q289" s="229">
        <f t="shared" si="5"/>
        <v>0</v>
      </c>
    </row>
    <row r="290" spans="1:17">
      <c r="A290" t="str">
        <f>IF(ABS(H290)&gt;0,基础信息!$B$1,"")</f>
        <v/>
      </c>
      <c r="Q290" s="229">
        <f t="shared" si="5"/>
        <v>0</v>
      </c>
    </row>
    <row r="291" spans="1:17">
      <c r="A291" t="str">
        <f>IF(ABS(H291)&gt;0,基础信息!$B$1,"")</f>
        <v/>
      </c>
      <c r="Q291" s="229">
        <f t="shared" si="5"/>
        <v>0</v>
      </c>
    </row>
    <row r="292" spans="1:17">
      <c r="A292" t="str">
        <f>IF(ABS(H292)&gt;0,基础信息!$B$1,"")</f>
        <v/>
      </c>
      <c r="Q292" s="229">
        <f t="shared" si="5"/>
        <v>0</v>
      </c>
    </row>
    <row r="293" spans="1:17">
      <c r="A293" t="str">
        <f>IF(ABS(H293)&gt;0,基础信息!$B$1,"")</f>
        <v/>
      </c>
      <c r="Q293" s="229">
        <f t="shared" si="5"/>
        <v>0</v>
      </c>
    </row>
    <row r="294" spans="1:17">
      <c r="A294" t="str">
        <f>IF(ABS(H294)&gt;0,基础信息!$B$1,"")</f>
        <v/>
      </c>
      <c r="Q294" s="229">
        <f t="shared" si="5"/>
        <v>0</v>
      </c>
    </row>
    <row r="295" spans="1:17">
      <c r="A295" t="str">
        <f>IF(ABS(H295)&gt;0,基础信息!$B$1,"")</f>
        <v/>
      </c>
      <c r="Q295" s="229">
        <f t="shared" si="5"/>
        <v>0</v>
      </c>
    </row>
    <row r="296" spans="1:17">
      <c r="A296" t="str">
        <f>IF(ABS(H296)&gt;0,基础信息!$B$1,"")</f>
        <v/>
      </c>
      <c r="Q296" s="229">
        <f t="shared" si="5"/>
        <v>0</v>
      </c>
    </row>
    <row r="297" spans="1:17">
      <c r="A297" t="str">
        <f>IF(ABS(H297)&gt;0,基础信息!$B$1,"")</f>
        <v/>
      </c>
      <c r="Q297" s="229">
        <f t="shared" si="5"/>
        <v>0</v>
      </c>
    </row>
    <row r="298" spans="1:17">
      <c r="A298" t="str">
        <f>IF(ABS(H298)&gt;0,基础信息!$B$1,"")</f>
        <v/>
      </c>
      <c r="Q298" s="229">
        <f t="shared" si="5"/>
        <v>0</v>
      </c>
    </row>
    <row r="299" spans="1:17">
      <c r="A299" t="str">
        <f>IF(ABS(H299)&gt;0,基础信息!$B$1,"")</f>
        <v/>
      </c>
      <c r="Q299" s="229">
        <f t="shared" si="5"/>
        <v>0</v>
      </c>
    </row>
    <row r="300" spans="1:17">
      <c r="A300" t="str">
        <f>IF(ABS(H300)&gt;0,基础信息!$B$1,"")</f>
        <v/>
      </c>
      <c r="Q300" s="229">
        <f t="shared" si="5"/>
        <v>0</v>
      </c>
    </row>
    <row r="301" spans="1:17">
      <c r="A301" t="str">
        <f>IF(ABS(H301)&gt;0,基础信息!$B$1,"")</f>
        <v/>
      </c>
      <c r="Q301" s="229">
        <f t="shared" si="5"/>
        <v>0</v>
      </c>
    </row>
    <row r="302" spans="1:17">
      <c r="A302" t="str">
        <f>IF(ABS(H302)&gt;0,基础信息!$B$1,"")</f>
        <v/>
      </c>
      <c r="Q302" s="229">
        <f t="shared" si="5"/>
        <v>0</v>
      </c>
    </row>
    <row r="303" spans="1:17">
      <c r="A303" t="str">
        <f>IF(ABS(H303)&gt;0,基础信息!$B$1,"")</f>
        <v/>
      </c>
      <c r="Q303" s="229">
        <f t="shared" si="5"/>
        <v>0</v>
      </c>
    </row>
    <row r="304" spans="1:17">
      <c r="A304" t="str">
        <f>IF(ABS(H304)&gt;0,基础信息!$B$1,"")</f>
        <v/>
      </c>
      <c r="Q304" s="229">
        <f t="shared" si="5"/>
        <v>0</v>
      </c>
    </row>
    <row r="305" spans="1:17">
      <c r="A305" t="str">
        <f>IF(ABS(H305)&gt;0,基础信息!$B$1,"")</f>
        <v/>
      </c>
      <c r="Q305" s="229">
        <f t="shared" si="5"/>
        <v>0</v>
      </c>
    </row>
    <row r="306" spans="1:17">
      <c r="A306" t="str">
        <f>IF(ABS(H306)&gt;0,基础信息!$B$1,"")</f>
        <v/>
      </c>
      <c r="Q306" s="229">
        <f t="shared" si="5"/>
        <v>0</v>
      </c>
    </row>
    <row r="307" spans="1:17">
      <c r="A307" t="str">
        <f>IF(ABS(H307)&gt;0,基础信息!$B$1,"")</f>
        <v/>
      </c>
      <c r="Q307" s="229">
        <f t="shared" si="5"/>
        <v>0</v>
      </c>
    </row>
    <row r="308" spans="1:17">
      <c r="A308" t="str">
        <f>IF(ABS(H308)&gt;0,基础信息!$B$1,"")</f>
        <v/>
      </c>
      <c r="Q308" s="229">
        <f t="shared" si="5"/>
        <v>0</v>
      </c>
    </row>
    <row r="309" spans="1:17">
      <c r="A309" t="str">
        <f>IF(ABS(H309)&gt;0,基础信息!$B$1,"")</f>
        <v/>
      </c>
      <c r="Q309" s="229">
        <f t="shared" si="5"/>
        <v>0</v>
      </c>
    </row>
    <row r="310" spans="1:17">
      <c r="A310" t="str">
        <f>IF(ABS(H310)&gt;0,基础信息!$B$1,"")</f>
        <v/>
      </c>
      <c r="Q310" s="229">
        <f t="shared" si="5"/>
        <v>0</v>
      </c>
    </row>
    <row r="311" spans="1:17">
      <c r="A311" t="str">
        <f>IF(ABS(H311)&gt;0,基础信息!$B$1,"")</f>
        <v/>
      </c>
      <c r="Q311" s="229">
        <f t="shared" si="5"/>
        <v>0</v>
      </c>
    </row>
    <row r="312" spans="1:17">
      <c r="A312" t="str">
        <f>IF(ABS(H312)&gt;0,基础信息!$B$1,"")</f>
        <v/>
      </c>
      <c r="Q312" s="229">
        <f t="shared" si="5"/>
        <v>0</v>
      </c>
    </row>
    <row r="313" spans="1:17">
      <c r="A313" t="str">
        <f>IF(ABS(H313)&gt;0,基础信息!$B$1,"")</f>
        <v/>
      </c>
      <c r="Q313" s="229">
        <f t="shared" si="5"/>
        <v>0</v>
      </c>
    </row>
    <row r="314" spans="1:17">
      <c r="A314" t="str">
        <f>IF(ABS(H314)&gt;0,基础信息!$B$1,"")</f>
        <v/>
      </c>
      <c r="Q314" s="229">
        <f t="shared" si="5"/>
        <v>0</v>
      </c>
    </row>
    <row r="315" spans="1:17">
      <c r="A315" t="str">
        <f>IF(ABS(H315)&gt;0,基础信息!$B$1,"")</f>
        <v/>
      </c>
      <c r="Q315" s="229">
        <f t="shared" si="5"/>
        <v>0</v>
      </c>
    </row>
    <row r="316" spans="1:17">
      <c r="A316" t="str">
        <f>IF(ABS(H316)&gt;0,基础信息!$B$1,"")</f>
        <v/>
      </c>
      <c r="Q316" s="229">
        <f t="shared" si="5"/>
        <v>0</v>
      </c>
    </row>
    <row r="317" spans="1:17">
      <c r="A317" t="str">
        <f>IF(ABS(H317)&gt;0,基础信息!$B$1,"")</f>
        <v/>
      </c>
      <c r="Q317" s="229">
        <f t="shared" si="5"/>
        <v>0</v>
      </c>
    </row>
    <row r="318" spans="1:17">
      <c r="A318" t="str">
        <f>IF(ABS(H318)&gt;0,基础信息!$B$1,"")</f>
        <v/>
      </c>
      <c r="Q318" s="229">
        <f t="shared" si="5"/>
        <v>0</v>
      </c>
    </row>
    <row r="319" spans="1:17">
      <c r="A319" t="str">
        <f>IF(ABS(H319)&gt;0,基础信息!$B$1,"")</f>
        <v/>
      </c>
      <c r="Q319" s="229">
        <f t="shared" si="5"/>
        <v>0</v>
      </c>
    </row>
    <row r="320" spans="1:17">
      <c r="A320" t="str">
        <f>IF(ABS(H320)&gt;0,基础信息!$B$1,"")</f>
        <v/>
      </c>
      <c r="Q320" s="229">
        <f t="shared" si="5"/>
        <v>0</v>
      </c>
    </row>
    <row r="321" spans="1:17">
      <c r="A321" t="str">
        <f>IF(ABS(H321)&gt;0,基础信息!$B$1,"")</f>
        <v/>
      </c>
      <c r="Q321" s="229">
        <f t="shared" si="5"/>
        <v>0</v>
      </c>
    </row>
    <row r="322" spans="1:17">
      <c r="A322" t="str">
        <f>IF(ABS(H322)&gt;0,基础信息!$B$1,"")</f>
        <v/>
      </c>
      <c r="Q322" s="229">
        <f t="shared" si="5"/>
        <v>0</v>
      </c>
    </row>
    <row r="323" spans="1:17">
      <c r="A323" t="str">
        <f>IF(ABS(H323)&gt;0,基础信息!$B$1,"")</f>
        <v/>
      </c>
      <c r="Q323" s="229">
        <f t="shared" ref="Q323:Q343" si="6">M323+N323-O323-P323</f>
        <v>0</v>
      </c>
    </row>
    <row r="324" spans="1:17">
      <c r="A324" t="str">
        <f>IF(ABS(H324)&gt;0,基础信息!$B$1,"")</f>
        <v/>
      </c>
      <c r="Q324" s="229">
        <f t="shared" si="6"/>
        <v>0</v>
      </c>
    </row>
    <row r="325" spans="1:17">
      <c r="A325" t="str">
        <f>IF(ABS(H325)&gt;0,基础信息!$B$1,"")</f>
        <v/>
      </c>
      <c r="Q325" s="229">
        <f t="shared" si="6"/>
        <v>0</v>
      </c>
    </row>
    <row r="326" spans="1:17">
      <c r="A326" t="str">
        <f>IF(ABS(H326)&gt;0,基础信息!$B$1,"")</f>
        <v/>
      </c>
      <c r="Q326" s="229">
        <f t="shared" si="6"/>
        <v>0</v>
      </c>
    </row>
    <row r="327" spans="1:17">
      <c r="A327" t="str">
        <f>IF(ABS(H327)&gt;0,基础信息!$B$1,"")</f>
        <v/>
      </c>
      <c r="Q327" s="229">
        <f t="shared" si="6"/>
        <v>0</v>
      </c>
    </row>
    <row r="328" spans="1:17">
      <c r="A328" t="str">
        <f>IF(ABS(H328)&gt;0,基础信息!$B$1,"")</f>
        <v/>
      </c>
      <c r="Q328" s="229">
        <f t="shared" si="6"/>
        <v>0</v>
      </c>
    </row>
    <row r="329" spans="1:17">
      <c r="A329" t="str">
        <f>IF(ABS(H329)&gt;0,基础信息!$B$1,"")</f>
        <v/>
      </c>
      <c r="Q329" s="229">
        <f t="shared" si="6"/>
        <v>0</v>
      </c>
    </row>
    <row r="330" spans="1:17">
      <c r="A330" t="str">
        <f>IF(ABS(H330)&gt;0,基础信息!$B$1,"")</f>
        <v/>
      </c>
      <c r="Q330" s="229">
        <f t="shared" si="6"/>
        <v>0</v>
      </c>
    </row>
    <row r="331" spans="1:17">
      <c r="A331" t="str">
        <f>IF(ABS(H331)&gt;0,基础信息!$B$1,"")</f>
        <v/>
      </c>
      <c r="Q331" s="229">
        <f t="shared" si="6"/>
        <v>0</v>
      </c>
    </row>
    <row r="332" spans="1:17">
      <c r="A332" t="str">
        <f>IF(ABS(H332)&gt;0,基础信息!$B$1,"")</f>
        <v/>
      </c>
      <c r="Q332" s="229">
        <f t="shared" si="6"/>
        <v>0</v>
      </c>
    </row>
    <row r="333" spans="1:17">
      <c r="A333" t="str">
        <f>IF(ABS(H333)&gt;0,基础信息!$B$1,"")</f>
        <v/>
      </c>
      <c r="Q333" s="229">
        <f t="shared" si="6"/>
        <v>0</v>
      </c>
    </row>
    <row r="334" spans="1:17">
      <c r="A334" t="str">
        <f>IF(ABS(H334)&gt;0,基础信息!$B$1,"")</f>
        <v/>
      </c>
      <c r="Q334" s="229">
        <f t="shared" si="6"/>
        <v>0</v>
      </c>
    </row>
    <row r="335" spans="1:17">
      <c r="A335" t="str">
        <f>IF(ABS(H335)&gt;0,基础信息!$B$1,"")</f>
        <v/>
      </c>
      <c r="Q335" s="229">
        <f t="shared" si="6"/>
        <v>0</v>
      </c>
    </row>
    <row r="336" spans="1:17">
      <c r="A336" t="str">
        <f>IF(ABS(H336)&gt;0,基础信息!$B$1,"")</f>
        <v/>
      </c>
      <c r="Q336" s="229">
        <f t="shared" si="6"/>
        <v>0</v>
      </c>
    </row>
    <row r="337" spans="1:17">
      <c r="A337" t="str">
        <f>IF(ABS(H337)&gt;0,基础信息!$B$1,"")</f>
        <v/>
      </c>
      <c r="Q337" s="229">
        <f t="shared" si="6"/>
        <v>0</v>
      </c>
    </row>
    <row r="338" spans="1:17">
      <c r="A338" t="str">
        <f>IF(ABS(H338)&gt;0,基础信息!$B$1,"")</f>
        <v/>
      </c>
      <c r="Q338" s="229">
        <f t="shared" si="6"/>
        <v>0</v>
      </c>
    </row>
    <row r="339" spans="1:17">
      <c r="A339" t="str">
        <f>IF(ABS(H339)&gt;0,基础信息!$B$1,"")</f>
        <v/>
      </c>
      <c r="Q339" s="229">
        <f t="shared" si="6"/>
        <v>0</v>
      </c>
    </row>
    <row r="340" spans="1:17">
      <c r="A340" t="str">
        <f>IF(ABS(H340)&gt;0,基础信息!$B$1,"")</f>
        <v/>
      </c>
      <c r="Q340" s="229">
        <f t="shared" si="6"/>
        <v>0</v>
      </c>
    </row>
    <row r="341" spans="1:17">
      <c r="A341" t="str">
        <f>IF(ABS(H341)&gt;0,基础信息!$B$1,"")</f>
        <v/>
      </c>
      <c r="Q341" s="229">
        <f t="shared" si="6"/>
        <v>0</v>
      </c>
    </row>
    <row r="342" spans="1:17">
      <c r="A342" t="str">
        <f>IF(ABS(H342)&gt;0,基础信息!$B$1,"")</f>
        <v/>
      </c>
      <c r="Q342" s="229">
        <f t="shared" si="6"/>
        <v>0</v>
      </c>
    </row>
    <row r="343" spans="1:17">
      <c r="A343" t="str">
        <f>IF(ABS(H343)&gt;0,基础信息!$B$1,"")</f>
        <v/>
      </c>
      <c r="Q343" s="229">
        <f t="shared" si="6"/>
        <v>0</v>
      </c>
    </row>
    <row r="344" spans="1:17">
      <c r="A344" t="str">
        <f>IF(ABS(H344)&gt;0,基础信息!$B$1,"")</f>
        <v/>
      </c>
    </row>
    <row r="345" spans="1:17">
      <c r="A345" t="str">
        <f>IF(ABS(H345)&gt;0,基础信息!$B$1,"")</f>
        <v/>
      </c>
    </row>
    <row r="346" spans="1:17">
      <c r="A346" t="str">
        <f>IF(ABS(H346)&gt;0,基础信息!$B$1,"")</f>
        <v/>
      </c>
    </row>
    <row r="347" spans="1:17">
      <c r="A347" t="str">
        <f>IF(ABS(H347)&gt;0,基础信息!$B$1,"")</f>
        <v/>
      </c>
    </row>
    <row r="348" spans="1:17">
      <c r="A348" t="str">
        <f>IF(ABS(H348)&gt;0,基础信息!$B$1,"")</f>
        <v/>
      </c>
    </row>
    <row r="349" spans="1:17">
      <c r="A349" t="str">
        <f>IF(ABS(H349)&gt;0,基础信息!$B$1,"")</f>
        <v/>
      </c>
    </row>
    <row r="350" spans="1:17">
      <c r="A350" t="str">
        <f>IF(ABS(H350)&gt;0,基础信息!$B$1,"")</f>
        <v/>
      </c>
    </row>
    <row r="351" spans="1:17">
      <c r="A351" t="str">
        <f>IF(ABS(H351)&gt;0,基础信息!$B$1,"")</f>
        <v/>
      </c>
    </row>
    <row r="352" spans="1:17">
      <c r="A352" t="str">
        <f>IF(ABS(H352)&gt;0,基础信息!$B$1,"")</f>
        <v/>
      </c>
    </row>
    <row r="353" spans="1:1">
      <c r="A353" t="str">
        <f>IF(ABS(H353)&gt;0,基础信息!$B$1,"")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F23E14B-A2AB-45D9-B56A-9AC0F8689C60}">
          <x14:formula1>
            <xm:f>分类表!#REF!</xm:f>
          </x14:formula1>
          <xm:sqref>G2:G26 F21:F23 D21:D27</xm:sqref>
        </x14:dataValidation>
        <x14:dataValidation type="list" allowBlank="1" showInputMessage="1" showErrorMessage="1" xr:uid="{C86450B1-E41B-4B2F-AA3E-B74673677BE9}">
          <x14:formula1>
            <xm:f>分类表!$89:$89</xm:f>
          </x14:formula1>
          <xm:sqref>F2:F20</xm:sqref>
        </x14:dataValidation>
        <x14:dataValidation type="list" allowBlank="1" showInputMessage="1" showErrorMessage="1" xr:uid="{FC16240E-386A-40D5-BA97-B6412AA6E48E}">
          <x14:formula1>
            <xm:f>分类表!$90:$90</xm:f>
          </x14:formula1>
          <xm:sqref>C2:C20</xm:sqref>
        </x14:dataValidation>
        <x14:dataValidation type="list" allowBlank="1" showInputMessage="1" showErrorMessage="1" xr:uid="{4FB67A78-B534-4C2F-913D-8CAC99A43B06}">
          <x14:formula1>
            <xm:f>分类表!$8:$8</xm:f>
          </x14:formula1>
          <xm:sqref>D2:D20</xm:sqref>
        </x14:dataValidation>
      </x14:dataValidations>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codeName="Sheet101">
    <tabColor rgb="FFFFC000"/>
  </sheetPr>
  <dimension ref="A1:C4"/>
  <sheetViews>
    <sheetView workbookViewId="0">
      <selection activeCell="H14" sqref="H14:H15"/>
    </sheetView>
  </sheetViews>
  <sheetFormatPr defaultRowHeight="13.8"/>
  <cols>
    <col min="1" max="1" width="9.5546875" style="18" bestFit="1" customWidth="1"/>
    <col min="2" max="3" width="11.6640625" style="18" bestFit="1" customWidth="1"/>
    <col min="4" max="16384" width="8.88671875" style="18"/>
  </cols>
  <sheetData>
    <row r="1" spans="1:3">
      <c r="A1" s="18" t="s">
        <v>205</v>
      </c>
      <c r="B1" s="18" t="s">
        <v>263</v>
      </c>
      <c r="C1" s="18" t="s">
        <v>264</v>
      </c>
    </row>
    <row r="2" spans="1:3">
      <c r="A2" s="18" t="s">
        <v>6</v>
      </c>
      <c r="B2" s="136">
        <f>ROUND(SUMIF(应收款项融资已转让已背书或已贴现未到期明细表!B:B,应收款项融资已转让已背书或已贴现未到期!A2,应收款项融资已转让已背书或已贴现未到期明细表!L:L),2)</f>
        <v>0</v>
      </c>
      <c r="C2" s="136">
        <f>ROUND(SUMIF(应收款项融资已转让已背书或已贴现未到期明细表!B:B,应收款项融资已转让已背书或已贴现未到期!A2,应收款项融资已转让已背书或已贴现未到期明细表!M:M),2)</f>
        <v>0</v>
      </c>
    </row>
    <row r="3" spans="1:3">
      <c r="A3" s="18" t="s">
        <v>9</v>
      </c>
      <c r="B3" s="136">
        <f>ROUND(SUMIF(应收款项融资已转让已背书或已贴现未到期明细表!B:B,应收款项融资已转让已背书或已贴现未到期!A3,应收款项融资已转让已背书或已贴现未到期明细表!L:L),2)</f>
        <v>0</v>
      </c>
      <c r="C3" s="136">
        <f>ROUND(SUMIF(应收款项融资已转让已背书或已贴现未到期明细表!B:B,应收款项融资已转让已背书或已贴现未到期!A3,应收款项融资已转让已背书或已贴现未到期明细表!M:M),2)</f>
        <v>0</v>
      </c>
    </row>
    <row r="4" spans="1:3">
      <c r="A4" s="18" t="s">
        <v>204</v>
      </c>
      <c r="B4" s="1">
        <f>ROUND(SUM(B2:B3),2)</f>
        <v>0</v>
      </c>
      <c r="C4" s="1">
        <f>ROUND(SUM(C2:C3),2)</f>
        <v>0</v>
      </c>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FD68-4D2F-45AF-97C9-874073481D82}">
  <sheetPr codeName="Sheet102"/>
  <dimension ref="A1:M21"/>
  <sheetViews>
    <sheetView workbookViewId="0">
      <selection activeCell="A6" sqref="A6"/>
    </sheetView>
  </sheetViews>
  <sheetFormatPr defaultRowHeight="13.8"/>
  <cols>
    <col min="3" max="3" width="13.88671875" bestFit="1" customWidth="1"/>
    <col min="4" max="4" width="9.5546875" bestFit="1" customWidth="1"/>
    <col min="5" max="5" width="11.6640625" bestFit="1" customWidth="1"/>
    <col min="6" max="6" width="9.5546875" bestFit="1" customWidth="1"/>
    <col min="7" max="7" width="7.5546875" bestFit="1" customWidth="1"/>
    <col min="8" max="8" width="5.5546875" bestFit="1" customWidth="1"/>
    <col min="9" max="11" width="9.5546875" bestFit="1" customWidth="1"/>
    <col min="12" max="12" width="13.88671875" bestFit="1" customWidth="1"/>
    <col min="13" max="13" width="16.109375" bestFit="1" customWidth="1"/>
  </cols>
  <sheetData>
    <row r="1" spans="1:13">
      <c r="A1" t="s">
        <v>2383</v>
      </c>
      <c r="B1" t="s">
        <v>3390</v>
      </c>
      <c r="C1" t="s">
        <v>2381</v>
      </c>
      <c r="D1" t="s">
        <v>2382</v>
      </c>
      <c r="E1" t="s">
        <v>2385</v>
      </c>
      <c r="F1" t="s">
        <v>2380</v>
      </c>
      <c r="G1" t="s">
        <v>372</v>
      </c>
      <c r="H1" t="s">
        <v>183</v>
      </c>
      <c r="I1" t="s">
        <v>213</v>
      </c>
      <c r="J1" t="s">
        <v>2388</v>
      </c>
      <c r="K1" t="s">
        <v>2389</v>
      </c>
      <c r="L1" t="s">
        <v>2386</v>
      </c>
      <c r="M1" t="s">
        <v>2387</v>
      </c>
    </row>
    <row r="2" spans="1:13">
      <c r="A2" t="str">
        <f>IF(ABS(H2)&gt;0,基础信息!$B$1,"")</f>
        <v/>
      </c>
      <c r="B2" s="276"/>
      <c r="C2" s="255"/>
      <c r="D2" s="276"/>
      <c r="E2" s="276"/>
      <c r="F2" s="255"/>
      <c r="G2" s="255"/>
      <c r="H2" s="255"/>
      <c r="I2" s="255"/>
      <c r="J2" s="255"/>
      <c r="K2" s="255"/>
      <c r="L2" s="255"/>
      <c r="M2" s="255"/>
    </row>
    <row r="3" spans="1:13">
      <c r="A3" t="str">
        <f>IF(ABS(H3)&gt;0,基础信息!$B$1,"")</f>
        <v/>
      </c>
      <c r="B3" s="276"/>
      <c r="C3" s="255"/>
      <c r="D3" s="276"/>
      <c r="E3" s="276"/>
      <c r="F3" s="255"/>
      <c r="G3" s="255"/>
      <c r="H3" s="255"/>
      <c r="I3" s="255"/>
      <c r="J3" s="255"/>
      <c r="K3" s="255"/>
      <c r="L3" s="255"/>
      <c r="M3" s="255"/>
    </row>
    <row r="4" spans="1:13">
      <c r="A4" t="str">
        <f>IF(ABS(H4)&gt;0,基础信息!$B$1,"")</f>
        <v/>
      </c>
      <c r="B4" s="276"/>
      <c r="C4" s="255"/>
      <c r="D4" s="276"/>
      <c r="E4" s="276"/>
      <c r="F4" s="255"/>
      <c r="G4" s="255"/>
      <c r="H4" s="255"/>
      <c r="I4" s="255"/>
      <c r="J4" s="255"/>
      <c r="K4" s="255"/>
      <c r="L4" s="255"/>
      <c r="M4" s="255"/>
    </row>
    <row r="5" spans="1:13">
      <c r="A5" t="str">
        <f>IF(ABS(H5)&gt;0,基础信息!$B$1,"")</f>
        <v/>
      </c>
      <c r="B5" s="276"/>
      <c r="C5" s="255"/>
      <c r="D5" s="276"/>
      <c r="E5" s="276"/>
      <c r="F5" s="255"/>
      <c r="G5" s="255"/>
      <c r="H5" s="255"/>
      <c r="I5" s="255"/>
      <c r="J5" s="255"/>
      <c r="K5" s="255"/>
      <c r="L5" s="255"/>
      <c r="M5" s="255"/>
    </row>
    <row r="6" spans="1:13">
      <c r="A6" t="str">
        <f>IF(ABS(H6)&gt;0,基础信息!$B$1,"")</f>
        <v/>
      </c>
      <c r="B6" s="276"/>
      <c r="C6" s="255"/>
      <c r="D6" s="276"/>
      <c r="E6" s="276"/>
      <c r="F6" s="255"/>
      <c r="G6" s="255"/>
      <c r="H6" s="255"/>
      <c r="I6" s="255"/>
      <c r="J6" s="255"/>
      <c r="K6" s="255"/>
      <c r="L6" s="255"/>
      <c r="M6" s="255"/>
    </row>
    <row r="7" spans="1:13">
      <c r="A7" t="str">
        <f>IF(ABS(H7)&gt;0,基础信息!$B$1,"")</f>
        <v/>
      </c>
      <c r="B7" s="276"/>
      <c r="C7" s="255"/>
      <c r="D7" s="276"/>
      <c r="E7" s="276"/>
      <c r="F7" s="255"/>
      <c r="G7" s="255"/>
      <c r="H7" s="255"/>
      <c r="I7" s="255"/>
      <c r="J7" s="255"/>
      <c r="K7" s="255"/>
      <c r="L7" s="255"/>
      <c r="M7" s="255"/>
    </row>
    <row r="8" spans="1:13">
      <c r="A8" t="str">
        <f>IF(ABS(H8)&gt;0,基础信息!$B$1,"")</f>
        <v/>
      </c>
      <c r="B8" s="276"/>
      <c r="C8" s="255"/>
      <c r="D8" s="276"/>
      <c r="E8" s="276"/>
      <c r="F8" s="255"/>
      <c r="G8" s="255"/>
      <c r="H8" s="255"/>
      <c r="I8" s="255"/>
      <c r="J8" s="255"/>
      <c r="K8" s="255"/>
      <c r="L8" s="255"/>
      <c r="M8" s="255"/>
    </row>
    <row r="9" spans="1:13">
      <c r="A9" t="str">
        <f>IF(ABS(H9)&gt;0,基础信息!$B$1,"")</f>
        <v/>
      </c>
      <c r="B9" s="276"/>
      <c r="C9" s="255"/>
      <c r="D9" s="276"/>
      <c r="E9" s="276"/>
      <c r="F9" s="255"/>
      <c r="G9" s="255"/>
      <c r="H9" s="255"/>
      <c r="I9" s="255"/>
      <c r="J9" s="255"/>
      <c r="K9" s="255"/>
      <c r="L9" s="255"/>
      <c r="M9" s="255"/>
    </row>
    <row r="10" spans="1:13">
      <c r="A10" t="str">
        <f>IF(ABS(H10)&gt;0,基础信息!$B$1,"")</f>
        <v/>
      </c>
      <c r="B10" s="276"/>
      <c r="C10" s="255"/>
      <c r="D10" s="276"/>
      <c r="E10" s="276"/>
      <c r="F10" s="255"/>
      <c r="G10" s="255"/>
      <c r="H10" s="255"/>
      <c r="I10" s="255"/>
      <c r="J10" s="255"/>
      <c r="K10" s="255"/>
      <c r="L10" s="255"/>
      <c r="M10" s="255"/>
    </row>
    <row r="11" spans="1:13">
      <c r="A11" t="str">
        <f>IF(ABS(H11)&gt;0,基础信息!$B$1,"")</f>
        <v/>
      </c>
      <c r="B11" s="276"/>
      <c r="C11" s="255"/>
      <c r="D11" s="276"/>
      <c r="E11" s="276"/>
      <c r="F11" s="255"/>
      <c r="G11" s="255"/>
      <c r="H11" s="255"/>
      <c r="I11" s="255"/>
      <c r="J11" s="255"/>
      <c r="K11" s="255"/>
      <c r="L11" s="255"/>
      <c r="M11" s="255"/>
    </row>
    <row r="12" spans="1:13">
      <c r="A12" t="str">
        <f>IF(ABS(H12)&gt;0,基础信息!$B$1,"")</f>
        <v/>
      </c>
      <c r="B12" s="276"/>
      <c r="C12" s="255"/>
      <c r="D12" s="276"/>
      <c r="E12" s="276"/>
      <c r="F12" s="255"/>
      <c r="G12" s="255"/>
      <c r="H12" s="255"/>
      <c r="I12" s="255"/>
      <c r="J12" s="255"/>
      <c r="K12" s="255"/>
      <c r="L12" s="255"/>
      <c r="M12" s="255"/>
    </row>
    <row r="13" spans="1:13">
      <c r="A13" t="str">
        <f>IF(ABS(H13)&gt;0,基础信息!$B$1,"")</f>
        <v/>
      </c>
      <c r="B13" s="276"/>
      <c r="C13" s="255"/>
      <c r="D13" s="276"/>
      <c r="E13" s="276"/>
      <c r="F13" s="255"/>
      <c r="G13" s="255"/>
      <c r="H13" s="255"/>
      <c r="I13" s="255"/>
      <c r="J13" s="255"/>
      <c r="K13" s="255"/>
      <c r="L13" s="255"/>
      <c r="M13" s="255"/>
    </row>
    <row r="14" spans="1:13">
      <c r="A14" t="str">
        <f>IF(ABS(H14)&gt;0,基础信息!$B$1,"")</f>
        <v/>
      </c>
      <c r="B14" s="276"/>
      <c r="C14" s="255"/>
      <c r="D14" s="276"/>
      <c r="E14" s="276"/>
      <c r="F14" s="255"/>
      <c r="G14" s="255"/>
      <c r="H14" s="255"/>
      <c r="I14" s="255"/>
      <c r="J14" s="255"/>
      <c r="K14" s="255"/>
      <c r="L14" s="255"/>
      <c r="M14" s="255"/>
    </row>
    <row r="15" spans="1:13">
      <c r="A15" t="str">
        <f>IF(ABS(H15)&gt;0,基础信息!$B$1,"")</f>
        <v/>
      </c>
      <c r="B15" s="276"/>
      <c r="C15" s="255"/>
      <c r="D15" s="276"/>
      <c r="E15" s="276"/>
      <c r="F15" s="255"/>
      <c r="G15" s="255"/>
      <c r="H15" s="255"/>
      <c r="I15" s="255"/>
      <c r="J15" s="255"/>
      <c r="K15" s="255"/>
      <c r="L15" s="255"/>
      <c r="M15" s="255"/>
    </row>
    <row r="16" spans="1:13">
      <c r="A16" t="str">
        <f>IF(ABS(H16)&gt;0,基础信息!$B$1,"")</f>
        <v/>
      </c>
      <c r="B16" s="276"/>
      <c r="C16" s="255"/>
      <c r="D16" s="276"/>
      <c r="E16" s="276"/>
      <c r="F16" s="255"/>
      <c r="G16" s="255"/>
      <c r="H16" s="255"/>
      <c r="I16" s="255"/>
      <c r="J16" s="255"/>
      <c r="K16" s="255"/>
      <c r="L16" s="255"/>
      <c r="M16" s="255"/>
    </row>
    <row r="17" spans="1:13">
      <c r="A17" t="str">
        <f>IF(ABS(H17)&gt;0,基础信息!$B$1,"")</f>
        <v/>
      </c>
      <c r="B17" s="276"/>
      <c r="C17" s="255"/>
      <c r="D17" s="276"/>
      <c r="E17" s="276"/>
      <c r="F17" s="255"/>
      <c r="G17" s="255"/>
      <c r="H17" s="255"/>
      <c r="I17" s="255"/>
      <c r="J17" s="255"/>
      <c r="K17" s="255"/>
      <c r="L17" s="255"/>
      <c r="M17" s="255"/>
    </row>
    <row r="18" spans="1:13">
      <c r="A18" t="str">
        <f>IF(ABS(H18)&gt;0,基础信息!$B$1,"")</f>
        <v/>
      </c>
      <c r="B18" s="276"/>
      <c r="C18" s="255"/>
      <c r="D18" s="276"/>
      <c r="E18" s="276"/>
      <c r="F18" s="255"/>
      <c r="G18" s="255"/>
      <c r="H18" s="255"/>
      <c r="I18" s="255"/>
      <c r="J18" s="255"/>
      <c r="K18" s="255"/>
      <c r="L18" s="255"/>
      <c r="M18" s="255"/>
    </row>
    <row r="19" spans="1:13">
      <c r="A19" t="str">
        <f>IF(ABS(H19)&gt;0,基础信息!$B$1,"")</f>
        <v/>
      </c>
      <c r="B19" s="276"/>
      <c r="C19" s="255"/>
      <c r="D19" s="276"/>
      <c r="E19" s="276"/>
      <c r="F19" s="255"/>
      <c r="G19" s="255"/>
      <c r="H19" s="255"/>
      <c r="I19" s="255"/>
      <c r="J19" s="255"/>
      <c r="K19" s="255"/>
      <c r="L19" s="255"/>
      <c r="M19" s="255"/>
    </row>
    <row r="20" spans="1:13">
      <c r="A20" t="str">
        <f>IF(ABS(H20)&gt;0,基础信息!$B$1,"")</f>
        <v/>
      </c>
      <c r="B20" s="276"/>
      <c r="C20" s="255"/>
      <c r="D20" s="276"/>
      <c r="E20" s="276"/>
      <c r="F20" s="255"/>
      <c r="G20" s="255"/>
      <c r="H20" s="255"/>
      <c r="I20" s="255"/>
      <c r="J20" s="255"/>
      <c r="K20" s="255"/>
      <c r="L20" s="255"/>
      <c r="M20" s="255"/>
    </row>
    <row r="21" spans="1:13">
      <c r="A21" t="str">
        <f>IF(ABS(H21)&gt;0,基础信息!$B$1,"")</f>
        <v/>
      </c>
      <c r="B21" s="276"/>
      <c r="C21" s="255"/>
      <c r="D21" s="276"/>
      <c r="E21" s="276"/>
      <c r="F21" s="255"/>
      <c r="G21" s="255"/>
      <c r="H21" s="255"/>
      <c r="I21" s="255"/>
      <c r="J21" s="255"/>
      <c r="K21" s="255"/>
      <c r="L21" s="255"/>
      <c r="M21" s="25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09EA1F2-1010-4EA9-9AB8-54411B8802F8}">
          <x14:formula1>
            <xm:f>分类表!$90:$90</xm:f>
          </x14:formula1>
          <xm:sqref>B2:B21</xm:sqref>
        </x14:dataValidation>
        <x14:dataValidation type="list" allowBlank="1" showInputMessage="1" showErrorMessage="1" xr:uid="{7260B198-22D5-411A-852A-5F852EA61960}">
          <x14:formula1>
            <xm:f>分类表!$7:$7</xm:f>
          </x14:formula1>
          <xm:sqref>D2:D21</xm:sqref>
        </x14:dataValidation>
        <x14:dataValidation type="list" allowBlank="1" showInputMessage="1" showErrorMessage="1" xr:uid="{51EF2849-D960-4CA9-B5F7-0F7EF241AFCC}">
          <x14:formula1>
            <xm:f>分类表!$71:$71</xm:f>
          </x14:formula1>
          <xm:sqref>E2:E21</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codeName="Sheet103">
    <tabColor rgb="FFFFC000"/>
  </sheetPr>
  <dimension ref="A1:I6"/>
  <sheetViews>
    <sheetView workbookViewId="0">
      <selection activeCell="G14" sqref="G14"/>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243</v>
      </c>
      <c r="B1" s="18" t="s">
        <v>245</v>
      </c>
      <c r="C1" s="18" t="s">
        <v>270</v>
      </c>
      <c r="D1" s="18" t="s">
        <v>271</v>
      </c>
      <c r="E1" s="18" t="s">
        <v>272</v>
      </c>
      <c r="F1" s="18" t="s">
        <v>246</v>
      </c>
      <c r="G1" s="18" t="s">
        <v>273</v>
      </c>
      <c r="H1" s="18" t="s">
        <v>274</v>
      </c>
      <c r="I1" s="18" t="s">
        <v>275</v>
      </c>
    </row>
    <row r="2" spans="1:9">
      <c r="A2" s="18" t="s">
        <v>258</v>
      </c>
      <c r="B2" s="18">
        <f>ROUND(SUM(预付账款明细表!F:F),2)</f>
        <v>0</v>
      </c>
      <c r="C2" s="18" t="str">
        <f>IFERROR(B2/$B$6*100,"")</f>
        <v/>
      </c>
      <c r="D2" s="18">
        <f>ROUND(SUM(预付账款明细表!L:L),2)</f>
        <v>0</v>
      </c>
      <c r="E2" s="18">
        <f>ROUND(B2-D2,2)</f>
        <v>0</v>
      </c>
      <c r="F2" s="246"/>
      <c r="G2" s="18" t="str">
        <f>IFERROR(F2/$F$6*100,"")</f>
        <v/>
      </c>
      <c r="H2" s="246"/>
      <c r="I2" s="18">
        <f>ROUND(F2-H2,2)</f>
        <v>0</v>
      </c>
    </row>
    <row r="3" spans="1:9">
      <c r="A3" s="18" t="s">
        <v>259</v>
      </c>
      <c r="B3" s="18">
        <f>ROUND(SUM(预付账款明细表!G:G),2)</f>
        <v>0</v>
      </c>
      <c r="C3" s="18" t="str">
        <f t="shared" ref="C3:C6" si="0">IFERROR(B3/$B$6*100,"")</f>
        <v/>
      </c>
      <c r="D3" s="18">
        <f>ROUND(SUM(预付账款明细表!M:M),2)</f>
        <v>0</v>
      </c>
      <c r="E3" s="18">
        <f>ROUND(B3-D3,2)</f>
        <v>0</v>
      </c>
      <c r="F3" s="246"/>
      <c r="G3" s="18" t="str">
        <f t="shared" ref="G3:G6" si="1">IFERROR(F3/$F$6*100,"")</f>
        <v/>
      </c>
      <c r="H3" s="246"/>
      <c r="I3" s="18">
        <f>ROUND(F3-H3,2)</f>
        <v>0</v>
      </c>
    </row>
    <row r="4" spans="1:9">
      <c r="A4" s="18" t="s">
        <v>260</v>
      </c>
      <c r="B4" s="18">
        <f>ROUND(SUM(预付账款明细表!H:H),2)</f>
        <v>0</v>
      </c>
      <c r="C4" s="18" t="str">
        <f t="shared" si="0"/>
        <v/>
      </c>
      <c r="D4" s="18">
        <f>ROUND(SUM(预付账款明细表!N:N),2)</f>
        <v>0</v>
      </c>
      <c r="E4" s="18">
        <f>ROUND(B4-D4,2)</f>
        <v>0</v>
      </c>
      <c r="F4" s="246"/>
      <c r="G4" s="18" t="str">
        <f t="shared" si="1"/>
        <v/>
      </c>
      <c r="H4" s="246"/>
      <c r="I4" s="18">
        <f>ROUND(F4-H4,2)</f>
        <v>0</v>
      </c>
    </row>
    <row r="5" spans="1:9">
      <c r="A5" s="18" t="s">
        <v>261</v>
      </c>
      <c r="B5" s="18">
        <f>ROUND(SUM(预付账款明细表!I:I),2)</f>
        <v>0</v>
      </c>
      <c r="C5" s="18" t="str">
        <f t="shared" si="0"/>
        <v/>
      </c>
      <c r="D5" s="18">
        <f>ROUND(SUM(预付账款明细表!O:O),2)</f>
        <v>0</v>
      </c>
      <c r="E5" s="18">
        <f>ROUND(B5-D5,2)</f>
        <v>0</v>
      </c>
      <c r="F5" s="246"/>
      <c r="G5" s="18" t="str">
        <f t="shared" si="1"/>
        <v/>
      </c>
      <c r="H5" s="246"/>
      <c r="I5" s="18">
        <f>ROUND(F5-H5,2)</f>
        <v>0</v>
      </c>
    </row>
    <row r="6" spans="1:9">
      <c r="A6" s="18" t="s">
        <v>204</v>
      </c>
      <c r="B6" s="18">
        <f>ROUND(SUM(B2:B5),2)</f>
        <v>0</v>
      </c>
      <c r="C6" s="18" t="str">
        <f t="shared" si="0"/>
        <v/>
      </c>
      <c r="D6" s="18">
        <f>ROUND(SUM(D2:D5),2)</f>
        <v>0</v>
      </c>
      <c r="E6" s="18">
        <f>ROUND(SUM(E2:E5),2)</f>
        <v>0</v>
      </c>
      <c r="F6" s="18">
        <f>ROUND(SUM(F2:F5),2)</f>
        <v>0</v>
      </c>
      <c r="G6" s="18" t="str">
        <f t="shared" si="1"/>
        <v/>
      </c>
      <c r="H6" s="18">
        <f>ROUND(SUM(H2:H5),2)</f>
        <v>0</v>
      </c>
      <c r="I6" s="18">
        <f>ROUND(SUM(I2:I5),2)</f>
        <v>0</v>
      </c>
    </row>
  </sheetData>
  <phoneticPr fontId="1" type="noConversion"/>
  <pageMargins left="0.7" right="0.7" top="0.75" bottom="0.75" header="0.3" footer="0.3"/>
  <pageSetup paperSize="9" orientation="portrait" verticalDpi="0"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codeName="Sheet104">
    <tabColor rgb="FFFFC000"/>
  </sheetPr>
  <dimension ref="A1:E8"/>
  <sheetViews>
    <sheetView workbookViewId="0">
      <selection activeCell="K29" sqref="K29"/>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276</v>
      </c>
      <c r="B1" s="18" t="s">
        <v>277</v>
      </c>
      <c r="C1" s="1" t="s">
        <v>3343</v>
      </c>
      <c r="D1" s="18" t="s">
        <v>243</v>
      </c>
      <c r="E1" s="18" t="s">
        <v>279</v>
      </c>
    </row>
    <row r="2" spans="1:5">
      <c r="A2" s="246"/>
      <c r="B2" s="246"/>
      <c r="C2" s="138"/>
      <c r="D2" s="246"/>
      <c r="E2" s="246"/>
    </row>
    <row r="3" spans="1:5">
      <c r="A3" s="246"/>
      <c r="B3" s="246"/>
      <c r="C3" s="138"/>
      <c r="D3" s="246"/>
      <c r="E3" s="246"/>
    </row>
    <row r="4" spans="1:5">
      <c r="A4" s="246"/>
      <c r="B4" s="246"/>
      <c r="C4" s="138"/>
      <c r="D4" s="246"/>
      <c r="E4" s="246"/>
    </row>
    <row r="5" spans="1:5">
      <c r="A5" s="246"/>
      <c r="B5" s="246"/>
      <c r="C5" s="138"/>
      <c r="D5" s="246"/>
      <c r="E5" s="246"/>
    </row>
    <row r="6" spans="1:5">
      <c r="A6" s="246"/>
      <c r="B6" s="246"/>
      <c r="C6" s="138"/>
      <c r="D6" s="246"/>
      <c r="E6" s="246"/>
    </row>
    <row r="7" spans="1:5">
      <c r="A7" s="246"/>
      <c r="B7" s="246"/>
      <c r="C7" s="138"/>
      <c r="D7" s="246"/>
      <c r="E7" s="246"/>
    </row>
    <row r="8" spans="1:5">
      <c r="A8" s="18" t="s">
        <v>204</v>
      </c>
      <c r="C8" s="1">
        <f>ROUND(SUM(C2:C7),2)</f>
        <v>0</v>
      </c>
      <c r="D8" s="18" t="s">
        <v>235</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sheetPr codeName="Sheet105">
    <tabColor rgb="FFFFC000"/>
  </sheetPr>
  <dimension ref="A1:D7"/>
  <sheetViews>
    <sheetView workbookViewId="0">
      <selection activeCell="I13" sqref="I13"/>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242</v>
      </c>
      <c r="B1" s="18" t="s">
        <v>3344</v>
      </c>
      <c r="C1" s="18" t="s">
        <v>280</v>
      </c>
      <c r="D1" s="18" t="s">
        <v>213</v>
      </c>
    </row>
    <row r="2" spans="1:4">
      <c r="A2" t="str">
        <f>IFERROR(INDEX(预付账款明细表!B:B,MATCH(B2,预付账款明细表!C:C,0)),"")</f>
        <v/>
      </c>
      <c r="B2" t="str">
        <f>IFERROR(LARGE(预付账款明细表!C:C,1),"")</f>
        <v/>
      </c>
      <c r="C2">
        <f>ROUND(IFERROR(B2/预付账款账龄明细!$B$6*100,0),2)</f>
        <v>0</v>
      </c>
      <c r="D2" t="str">
        <f>IFERROR(VLOOKUP(A2,预付账款明细表!B:K,10,0),"")</f>
        <v/>
      </c>
    </row>
    <row r="3" spans="1:4">
      <c r="A3" t="str">
        <f>IFERROR(INDEX(预付账款明细表!B:B,MATCH(B3,预付账款明细表!C:C,0)),"")</f>
        <v/>
      </c>
      <c r="B3" t="str">
        <f>IFERROR(LARGE(预付账款明细表!C:C,2),"")</f>
        <v/>
      </c>
      <c r="C3">
        <f>ROUND(IFERROR(B3/预付账款账龄明细!$B$6*100,0),2)</f>
        <v>0</v>
      </c>
      <c r="D3" t="str">
        <f>IFERROR(VLOOKUP(A3,预付账款明细表!B:K,10,0),"")</f>
        <v/>
      </c>
    </row>
    <row r="4" spans="1:4">
      <c r="A4" t="str">
        <f>IFERROR(INDEX(预付账款明细表!B:B,MATCH(B4,预付账款明细表!C:C,0)),"")</f>
        <v/>
      </c>
      <c r="B4" t="str">
        <f>IFERROR(LARGE(预付账款明细表!C:C,3),"")</f>
        <v/>
      </c>
      <c r="C4">
        <f>ROUND(IFERROR(B4/预付账款账龄明细!$B$6*100,0),2)</f>
        <v>0</v>
      </c>
      <c r="D4" t="str">
        <f>IFERROR(VLOOKUP(A4,预付账款明细表!B:K,10,0),"")</f>
        <v/>
      </c>
    </row>
    <row r="5" spans="1:4">
      <c r="A5" t="str">
        <f>IFERROR(INDEX(预付账款明细表!B:B,MATCH(B5,预付账款明细表!C:C,0)),"")</f>
        <v/>
      </c>
      <c r="B5" t="str">
        <f>IFERROR(LARGE(预付账款明细表!C:C,4),"")</f>
        <v/>
      </c>
      <c r="C5">
        <f>ROUND(IFERROR(B5/预付账款账龄明细!$B$6*100,0),2)</f>
        <v>0</v>
      </c>
      <c r="D5" t="str">
        <f>IFERROR(VLOOKUP(A5,预付账款明细表!B:K,10,0),"")</f>
        <v/>
      </c>
    </row>
    <row r="6" spans="1:4">
      <c r="A6" t="str">
        <f>IFERROR(INDEX(预付账款明细表!B:B,MATCH(B6,预付账款明细表!C:C,0)),"")</f>
        <v/>
      </c>
      <c r="B6" t="str">
        <f>IFERROR(LARGE(预付账款明细表!C:C,5),"")</f>
        <v/>
      </c>
      <c r="C6">
        <f>ROUND(IFERROR(B6/预付账款账龄明细!$B$6*100,0),2)</f>
        <v>0</v>
      </c>
      <c r="D6" t="str">
        <f>IFERROR(VLOOKUP(A6,预付账款明细表!B:K,10,0),"")</f>
        <v/>
      </c>
    </row>
    <row r="7" spans="1:4">
      <c r="A7" t="s">
        <v>204</v>
      </c>
      <c r="B7">
        <f>ROUND(SUM(B2:B6),2)</f>
        <v>0</v>
      </c>
      <c r="C7">
        <f>ROUND(IFERROR(B7/预付账款账龄明细!$B$6*100,0),2)</f>
        <v>0</v>
      </c>
      <c r="D7">
        <f>ROUND(SUM(D2:D6),2)</f>
        <v>0</v>
      </c>
    </row>
  </sheetData>
  <phoneticPr fontId="1"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sheetPr codeName="Sheet106"/>
  <dimension ref="A1:U156"/>
  <sheetViews>
    <sheetView workbookViewId="0">
      <pane xSplit="1" ySplit="1" topLeftCell="B2" activePane="bottomRight" state="frozen"/>
      <selection activeCell="D22" sqref="D22"/>
      <selection pane="topRight" activeCell="D22" sqref="D22"/>
      <selection pane="bottomLeft" activeCell="D22" sqref="D22"/>
      <selection pane="bottomRight" activeCell="D5" sqref="D5"/>
    </sheetView>
  </sheetViews>
  <sheetFormatPr defaultRowHeight="13.8"/>
  <cols>
    <col min="3" max="3" width="9.88671875" customWidth="1"/>
    <col min="4"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0.33203125" customWidth="1"/>
    <col min="18" max="18" width="6.44140625" customWidth="1"/>
    <col min="19" max="19" width="7.88671875" bestFit="1" customWidth="1"/>
    <col min="20" max="20" width="9.77734375" bestFit="1" customWidth="1"/>
  </cols>
  <sheetData>
    <row r="1" spans="1:21" s="236" customFormat="1" ht="41.4">
      <c r="A1" s="270" t="s">
        <v>1976</v>
      </c>
      <c r="B1" s="591" t="s">
        <v>125</v>
      </c>
      <c r="C1" s="587" t="s">
        <v>3337</v>
      </c>
      <c r="D1" s="587" t="s">
        <v>1685</v>
      </c>
      <c r="E1" s="587" t="s">
        <v>2348</v>
      </c>
      <c r="F1" s="587" t="s">
        <v>3707</v>
      </c>
      <c r="G1" s="587" t="s">
        <v>3708</v>
      </c>
      <c r="H1" s="587" t="s">
        <v>3709</v>
      </c>
      <c r="I1" s="587" t="s">
        <v>3710</v>
      </c>
      <c r="J1" s="587" t="s">
        <v>2351</v>
      </c>
      <c r="K1" s="587" t="s">
        <v>2352</v>
      </c>
      <c r="L1" s="587" t="s">
        <v>3711</v>
      </c>
      <c r="M1" s="587" t="s">
        <v>3712</v>
      </c>
      <c r="N1" s="587" t="s">
        <v>3713</v>
      </c>
      <c r="O1" s="587" t="s">
        <v>3714</v>
      </c>
      <c r="P1" s="588" t="s">
        <v>318</v>
      </c>
      <c r="Q1" s="588" t="s">
        <v>3715</v>
      </c>
      <c r="R1" s="588" t="s">
        <v>3716</v>
      </c>
      <c r="S1" s="588" t="s">
        <v>3717</v>
      </c>
      <c r="T1" s="588" t="s">
        <v>3718</v>
      </c>
      <c r="U1" s="519"/>
    </row>
    <row r="2" spans="1:21">
      <c r="A2" t="str">
        <f>IF(ABS(C2)&gt;0,基础信息!$B$1,"")</f>
        <v/>
      </c>
      <c r="B2" s="255"/>
      <c r="C2" s="255"/>
      <c r="D2" s="276"/>
      <c r="E2" s="255"/>
      <c r="F2" s="255"/>
      <c r="G2" s="255"/>
      <c r="H2" s="255"/>
      <c r="I2" s="255"/>
      <c r="J2" s="229">
        <f>SUM(F2:I2)-C2</f>
        <v>0</v>
      </c>
      <c r="K2" s="229">
        <f>SUM(L2:O2)</f>
        <v>0</v>
      </c>
      <c r="L2" s="255"/>
      <c r="M2" s="255"/>
      <c r="N2" s="255"/>
      <c r="O2" s="255"/>
      <c r="P2" s="229">
        <f>C2-K2</f>
        <v>0</v>
      </c>
      <c r="Q2" s="229">
        <f>F2-L2</f>
        <v>0</v>
      </c>
      <c r="R2" s="229">
        <f t="shared" ref="R2:T17" si="0">G2-M2</f>
        <v>0</v>
      </c>
      <c r="S2" s="229">
        <f t="shared" si="0"/>
        <v>0</v>
      </c>
      <c r="T2" s="229">
        <f t="shared" si="0"/>
        <v>0</v>
      </c>
      <c r="U2" s="229"/>
    </row>
    <row r="3" spans="1:21">
      <c r="A3" t="str">
        <f>IF(ABS(C3)&gt;0,基础信息!$B$1,"")</f>
        <v/>
      </c>
      <c r="B3" s="255"/>
      <c r="C3" s="255"/>
      <c r="D3" s="276"/>
      <c r="E3" s="255"/>
      <c r="F3" s="255"/>
      <c r="G3" s="255"/>
      <c r="H3" s="255"/>
      <c r="I3" s="255"/>
      <c r="J3" s="229">
        <f t="shared" ref="J3:J20" si="1">SUM(F3:I3)-C3</f>
        <v>0</v>
      </c>
      <c r="K3" s="229">
        <f t="shared" ref="K3:K20" si="2">SUM(L3:O3)</f>
        <v>0</v>
      </c>
      <c r="L3" s="255"/>
      <c r="M3" s="255"/>
      <c r="N3" s="255"/>
      <c r="O3" s="255"/>
      <c r="P3" s="229">
        <f t="shared" ref="P3:P20" si="3">C3-K3</f>
        <v>0</v>
      </c>
      <c r="Q3" s="229">
        <f t="shared" ref="Q3:T20" si="4">F3-L3</f>
        <v>0</v>
      </c>
      <c r="R3" s="229">
        <f t="shared" si="0"/>
        <v>0</v>
      </c>
      <c r="S3" s="229">
        <f t="shared" si="0"/>
        <v>0</v>
      </c>
      <c r="T3" s="229">
        <f t="shared" si="0"/>
        <v>0</v>
      </c>
      <c r="U3" s="229"/>
    </row>
    <row r="4" spans="1:21">
      <c r="A4" t="str">
        <f>IF(ABS(C4)&gt;0,基础信息!$B$1,"")</f>
        <v/>
      </c>
      <c r="B4" s="255"/>
      <c r="C4" s="255"/>
      <c r="D4" s="276"/>
      <c r="E4" s="255"/>
      <c r="F4" s="255"/>
      <c r="G4" s="255"/>
      <c r="H4" s="255"/>
      <c r="I4" s="255"/>
      <c r="J4" s="229">
        <f t="shared" si="1"/>
        <v>0</v>
      </c>
      <c r="K4" s="229">
        <f t="shared" si="2"/>
        <v>0</v>
      </c>
      <c r="L4" s="255"/>
      <c r="M4" s="255"/>
      <c r="N4" s="255"/>
      <c r="O4" s="255"/>
      <c r="P4" s="229">
        <f t="shared" si="3"/>
        <v>0</v>
      </c>
      <c r="Q4" s="229">
        <f t="shared" si="4"/>
        <v>0</v>
      </c>
      <c r="R4" s="229">
        <f t="shared" si="0"/>
        <v>0</v>
      </c>
      <c r="S4" s="229">
        <f t="shared" si="0"/>
        <v>0</v>
      </c>
      <c r="T4" s="229">
        <f t="shared" si="0"/>
        <v>0</v>
      </c>
      <c r="U4" s="229"/>
    </row>
    <row r="5" spans="1:21">
      <c r="A5" t="str">
        <f>IF(ABS(C5)&gt;0,基础信息!$B$1,"")</f>
        <v/>
      </c>
      <c r="B5" s="255"/>
      <c r="C5" s="255"/>
      <c r="D5" s="276"/>
      <c r="E5" s="255"/>
      <c r="F5" s="255"/>
      <c r="G5" s="255"/>
      <c r="H5" s="255"/>
      <c r="I5" s="255"/>
      <c r="J5" s="229">
        <f t="shared" si="1"/>
        <v>0</v>
      </c>
      <c r="K5" s="229">
        <f t="shared" si="2"/>
        <v>0</v>
      </c>
      <c r="L5" s="255"/>
      <c r="M5" s="255"/>
      <c r="N5" s="255"/>
      <c r="O5" s="255"/>
      <c r="P5" s="229">
        <f t="shared" si="3"/>
        <v>0</v>
      </c>
      <c r="Q5" s="229">
        <f t="shared" si="4"/>
        <v>0</v>
      </c>
      <c r="R5" s="229">
        <f t="shared" si="0"/>
        <v>0</v>
      </c>
      <c r="S5" s="229">
        <f t="shared" si="0"/>
        <v>0</v>
      </c>
      <c r="T5" s="229">
        <f t="shared" si="0"/>
        <v>0</v>
      </c>
      <c r="U5" s="229"/>
    </row>
    <row r="6" spans="1:21">
      <c r="A6" t="str">
        <f>IF(ABS(C6)&gt;0,基础信息!$B$1,"")</f>
        <v/>
      </c>
      <c r="B6" s="255"/>
      <c r="C6" s="255"/>
      <c r="D6" s="276"/>
      <c r="E6" s="255"/>
      <c r="F6" s="255"/>
      <c r="G6" s="255"/>
      <c r="H6" s="255"/>
      <c r="I6" s="255"/>
      <c r="J6" s="229">
        <f t="shared" si="1"/>
        <v>0</v>
      </c>
      <c r="K6" s="229">
        <f t="shared" si="2"/>
        <v>0</v>
      </c>
      <c r="L6" s="255"/>
      <c r="M6" s="255"/>
      <c r="N6" s="255"/>
      <c r="O6" s="255"/>
      <c r="P6" s="229">
        <f t="shared" si="3"/>
        <v>0</v>
      </c>
      <c r="Q6" s="229">
        <f t="shared" si="4"/>
        <v>0</v>
      </c>
      <c r="R6" s="229">
        <f t="shared" si="0"/>
        <v>0</v>
      </c>
      <c r="S6" s="229">
        <f t="shared" si="0"/>
        <v>0</v>
      </c>
      <c r="T6" s="229">
        <f t="shared" si="0"/>
        <v>0</v>
      </c>
      <c r="U6" s="229"/>
    </row>
    <row r="7" spans="1:21">
      <c r="A7" t="str">
        <f>IF(ABS(C7)&gt;0,基础信息!$B$1,"")</f>
        <v/>
      </c>
      <c r="B7" s="255"/>
      <c r="C7" s="255"/>
      <c r="D7" s="276"/>
      <c r="E7" s="255"/>
      <c r="F7" s="255"/>
      <c r="G7" s="255"/>
      <c r="H7" s="255"/>
      <c r="I7" s="255"/>
      <c r="J7" s="229">
        <f t="shared" si="1"/>
        <v>0</v>
      </c>
      <c r="K7" s="229">
        <f t="shared" si="2"/>
        <v>0</v>
      </c>
      <c r="L7" s="255"/>
      <c r="M7" s="255"/>
      <c r="N7" s="255"/>
      <c r="O7" s="255"/>
      <c r="P7" s="229">
        <f t="shared" si="3"/>
        <v>0</v>
      </c>
      <c r="Q7" s="229">
        <f t="shared" si="4"/>
        <v>0</v>
      </c>
      <c r="R7" s="229">
        <f t="shared" si="0"/>
        <v>0</v>
      </c>
      <c r="S7" s="229">
        <f t="shared" si="0"/>
        <v>0</v>
      </c>
      <c r="T7" s="229">
        <f t="shared" si="0"/>
        <v>0</v>
      </c>
      <c r="U7" s="229"/>
    </row>
    <row r="8" spans="1:21">
      <c r="A8" t="str">
        <f>IF(ABS(C8)&gt;0,基础信息!$B$1,"")</f>
        <v/>
      </c>
      <c r="B8" s="255"/>
      <c r="C8" s="255"/>
      <c r="D8" s="276"/>
      <c r="E8" s="255"/>
      <c r="F8" s="255"/>
      <c r="G8" s="255"/>
      <c r="H8" s="255"/>
      <c r="I8" s="255"/>
      <c r="J8" s="229">
        <f t="shared" si="1"/>
        <v>0</v>
      </c>
      <c r="K8" s="229">
        <f t="shared" si="2"/>
        <v>0</v>
      </c>
      <c r="L8" s="255"/>
      <c r="M8" s="255"/>
      <c r="N8" s="255"/>
      <c r="O8" s="255"/>
      <c r="P8" s="229">
        <f t="shared" si="3"/>
        <v>0</v>
      </c>
      <c r="Q8" s="229">
        <f t="shared" si="4"/>
        <v>0</v>
      </c>
      <c r="R8" s="229">
        <f t="shared" si="0"/>
        <v>0</v>
      </c>
      <c r="S8" s="229">
        <f t="shared" si="0"/>
        <v>0</v>
      </c>
      <c r="T8" s="229">
        <f t="shared" si="0"/>
        <v>0</v>
      </c>
      <c r="U8" s="229"/>
    </row>
    <row r="9" spans="1:21">
      <c r="A9" t="str">
        <f>IF(ABS(C9)&gt;0,基础信息!$B$1,"")</f>
        <v/>
      </c>
      <c r="B9" s="255"/>
      <c r="C9" s="255"/>
      <c r="D9" s="276"/>
      <c r="E9" s="255"/>
      <c r="F9" s="255"/>
      <c r="G9" s="255"/>
      <c r="H9" s="255"/>
      <c r="I9" s="255"/>
      <c r="J9" s="229">
        <f t="shared" si="1"/>
        <v>0</v>
      </c>
      <c r="K9" s="229">
        <f t="shared" si="2"/>
        <v>0</v>
      </c>
      <c r="L9" s="255"/>
      <c r="M9" s="255"/>
      <c r="N9" s="255"/>
      <c r="O9" s="255"/>
      <c r="P9" s="229">
        <f t="shared" si="3"/>
        <v>0</v>
      </c>
      <c r="Q9" s="229">
        <f t="shared" si="4"/>
        <v>0</v>
      </c>
      <c r="R9" s="229">
        <f t="shared" si="0"/>
        <v>0</v>
      </c>
      <c r="S9" s="229">
        <f t="shared" si="0"/>
        <v>0</v>
      </c>
      <c r="T9" s="229">
        <f t="shared" si="0"/>
        <v>0</v>
      </c>
      <c r="U9" s="229"/>
    </row>
    <row r="10" spans="1:21">
      <c r="A10" t="str">
        <f>IF(ABS(C10)&gt;0,基础信息!$B$1,"")</f>
        <v/>
      </c>
      <c r="B10" s="255"/>
      <c r="C10" s="255"/>
      <c r="D10" s="276"/>
      <c r="E10" s="255"/>
      <c r="F10" s="255"/>
      <c r="G10" s="255"/>
      <c r="H10" s="255"/>
      <c r="I10" s="255"/>
      <c r="J10" s="229">
        <f t="shared" si="1"/>
        <v>0</v>
      </c>
      <c r="K10" s="229">
        <f t="shared" si="2"/>
        <v>0</v>
      </c>
      <c r="L10" s="255"/>
      <c r="M10" s="255"/>
      <c r="N10" s="255"/>
      <c r="O10" s="255"/>
      <c r="P10" s="229">
        <f t="shared" si="3"/>
        <v>0</v>
      </c>
      <c r="Q10" s="229">
        <f t="shared" si="4"/>
        <v>0</v>
      </c>
      <c r="R10" s="229">
        <f t="shared" si="0"/>
        <v>0</v>
      </c>
      <c r="S10" s="229">
        <f t="shared" si="0"/>
        <v>0</v>
      </c>
      <c r="T10" s="229">
        <f t="shared" si="0"/>
        <v>0</v>
      </c>
      <c r="U10" s="229"/>
    </row>
    <row r="11" spans="1:21">
      <c r="A11" t="str">
        <f>IF(ABS(C11)&gt;0,基础信息!$B$1,"")</f>
        <v/>
      </c>
      <c r="B11" s="255"/>
      <c r="C11" s="255"/>
      <c r="D11" s="276"/>
      <c r="E11" s="255"/>
      <c r="F11" s="255"/>
      <c r="G11" s="255"/>
      <c r="H11" s="255"/>
      <c r="I11" s="255"/>
      <c r="J11" s="229">
        <f t="shared" si="1"/>
        <v>0</v>
      </c>
      <c r="K11" s="229">
        <f t="shared" si="2"/>
        <v>0</v>
      </c>
      <c r="L11" s="255"/>
      <c r="M11" s="255"/>
      <c r="N11" s="255"/>
      <c r="O11" s="255"/>
      <c r="P11" s="229">
        <f t="shared" si="3"/>
        <v>0</v>
      </c>
      <c r="Q11" s="229">
        <f t="shared" si="4"/>
        <v>0</v>
      </c>
      <c r="R11" s="229">
        <f t="shared" si="0"/>
        <v>0</v>
      </c>
      <c r="S11" s="229">
        <f t="shared" si="0"/>
        <v>0</v>
      </c>
      <c r="T11" s="229">
        <f t="shared" si="0"/>
        <v>0</v>
      </c>
      <c r="U11" s="229"/>
    </row>
    <row r="12" spans="1:21">
      <c r="A12" t="str">
        <f>IF(ABS(C12)&gt;0,基础信息!$B$1,"")</f>
        <v/>
      </c>
      <c r="B12" s="255"/>
      <c r="C12" s="255"/>
      <c r="D12" s="276"/>
      <c r="E12" s="255"/>
      <c r="F12" s="255"/>
      <c r="G12" s="255"/>
      <c r="H12" s="255"/>
      <c r="I12" s="255"/>
      <c r="J12" s="229">
        <f t="shared" si="1"/>
        <v>0</v>
      </c>
      <c r="K12" s="229">
        <f t="shared" si="2"/>
        <v>0</v>
      </c>
      <c r="L12" s="255"/>
      <c r="M12" s="255"/>
      <c r="N12" s="255"/>
      <c r="O12" s="255"/>
      <c r="P12" s="229">
        <f t="shared" si="3"/>
        <v>0</v>
      </c>
      <c r="Q12" s="229">
        <f t="shared" si="4"/>
        <v>0</v>
      </c>
      <c r="R12" s="229">
        <f t="shared" si="0"/>
        <v>0</v>
      </c>
      <c r="S12" s="229">
        <f t="shared" si="0"/>
        <v>0</v>
      </c>
      <c r="T12" s="229">
        <f t="shared" si="0"/>
        <v>0</v>
      </c>
      <c r="U12" s="229"/>
    </row>
    <row r="13" spans="1:21">
      <c r="A13" t="str">
        <f>IF(ABS(C13)&gt;0,基础信息!$B$1,"")</f>
        <v/>
      </c>
      <c r="B13" s="255"/>
      <c r="C13" s="255"/>
      <c r="D13" s="276"/>
      <c r="E13" s="255"/>
      <c r="F13" s="255"/>
      <c r="G13" s="255"/>
      <c r="H13" s="255"/>
      <c r="I13" s="255"/>
      <c r="J13" s="229">
        <f t="shared" si="1"/>
        <v>0</v>
      </c>
      <c r="K13" s="229">
        <f t="shared" si="2"/>
        <v>0</v>
      </c>
      <c r="L13" s="255"/>
      <c r="M13" s="255"/>
      <c r="N13" s="255"/>
      <c r="O13" s="255"/>
      <c r="P13" s="229">
        <f t="shared" si="3"/>
        <v>0</v>
      </c>
      <c r="Q13" s="229">
        <f t="shared" si="4"/>
        <v>0</v>
      </c>
      <c r="R13" s="229">
        <f t="shared" si="0"/>
        <v>0</v>
      </c>
      <c r="S13" s="229">
        <f t="shared" si="0"/>
        <v>0</v>
      </c>
      <c r="T13" s="229">
        <f t="shared" si="0"/>
        <v>0</v>
      </c>
      <c r="U13" s="229"/>
    </row>
    <row r="14" spans="1:21">
      <c r="A14" t="str">
        <f>IF(ABS(C14)&gt;0,基础信息!$B$1,"")</f>
        <v/>
      </c>
      <c r="B14" s="255"/>
      <c r="C14" s="255"/>
      <c r="D14" s="276"/>
      <c r="E14" s="255"/>
      <c r="F14" s="255"/>
      <c r="G14" s="255"/>
      <c r="H14" s="255"/>
      <c r="I14" s="255"/>
      <c r="J14" s="229">
        <f t="shared" si="1"/>
        <v>0</v>
      </c>
      <c r="K14" s="229">
        <f t="shared" si="2"/>
        <v>0</v>
      </c>
      <c r="L14" s="255"/>
      <c r="M14" s="255"/>
      <c r="N14" s="255"/>
      <c r="O14" s="255"/>
      <c r="P14" s="229">
        <f t="shared" si="3"/>
        <v>0</v>
      </c>
      <c r="Q14" s="229">
        <f t="shared" si="4"/>
        <v>0</v>
      </c>
      <c r="R14" s="229">
        <f t="shared" si="0"/>
        <v>0</v>
      </c>
      <c r="S14" s="229">
        <f t="shared" si="0"/>
        <v>0</v>
      </c>
      <c r="T14" s="229">
        <f t="shared" si="0"/>
        <v>0</v>
      </c>
      <c r="U14" s="229"/>
    </row>
    <row r="15" spans="1:21">
      <c r="A15" t="str">
        <f>IF(ABS(C15)&gt;0,基础信息!$B$1,"")</f>
        <v/>
      </c>
      <c r="B15" s="255"/>
      <c r="C15" s="255"/>
      <c r="D15" s="276"/>
      <c r="E15" s="255"/>
      <c r="F15" s="255"/>
      <c r="G15" s="255"/>
      <c r="H15" s="255"/>
      <c r="I15" s="255"/>
      <c r="J15" s="229">
        <f t="shared" si="1"/>
        <v>0</v>
      </c>
      <c r="K15" s="229">
        <f t="shared" si="2"/>
        <v>0</v>
      </c>
      <c r="L15" s="255"/>
      <c r="M15" s="255"/>
      <c r="N15" s="255"/>
      <c r="O15" s="255"/>
      <c r="P15" s="229">
        <f t="shared" si="3"/>
        <v>0</v>
      </c>
      <c r="Q15" s="229">
        <f t="shared" si="4"/>
        <v>0</v>
      </c>
      <c r="R15" s="229">
        <f t="shared" si="0"/>
        <v>0</v>
      </c>
      <c r="S15" s="229">
        <f t="shared" si="0"/>
        <v>0</v>
      </c>
      <c r="T15" s="229">
        <f t="shared" si="0"/>
        <v>0</v>
      </c>
      <c r="U15" s="229"/>
    </row>
    <row r="16" spans="1:21">
      <c r="A16" t="str">
        <f>IF(ABS(C16)&gt;0,基础信息!$B$1,"")</f>
        <v/>
      </c>
      <c r="B16" s="255"/>
      <c r="C16" s="255"/>
      <c r="D16" s="276"/>
      <c r="E16" s="255"/>
      <c r="F16" s="255"/>
      <c r="G16" s="255"/>
      <c r="H16" s="255"/>
      <c r="I16" s="255"/>
      <c r="J16" s="229">
        <f t="shared" si="1"/>
        <v>0</v>
      </c>
      <c r="K16" s="229">
        <f t="shared" si="2"/>
        <v>0</v>
      </c>
      <c r="L16" s="255"/>
      <c r="M16" s="255"/>
      <c r="N16" s="255"/>
      <c r="O16" s="255"/>
      <c r="P16" s="229">
        <f t="shared" si="3"/>
        <v>0</v>
      </c>
      <c r="Q16" s="229">
        <f t="shared" si="4"/>
        <v>0</v>
      </c>
      <c r="R16" s="229">
        <f t="shared" si="0"/>
        <v>0</v>
      </c>
      <c r="S16" s="229">
        <f t="shared" si="0"/>
        <v>0</v>
      </c>
      <c r="T16" s="229">
        <f t="shared" si="0"/>
        <v>0</v>
      </c>
      <c r="U16" s="229"/>
    </row>
    <row r="17" spans="1:21">
      <c r="A17" t="str">
        <f>IF(ABS(C17)&gt;0,基础信息!$B$1,"")</f>
        <v/>
      </c>
      <c r="B17" s="255"/>
      <c r="C17" s="255"/>
      <c r="D17" s="276"/>
      <c r="E17" s="255"/>
      <c r="F17" s="255"/>
      <c r="G17" s="255"/>
      <c r="H17" s="255"/>
      <c r="I17" s="255"/>
      <c r="J17" s="229">
        <f t="shared" si="1"/>
        <v>0</v>
      </c>
      <c r="K17" s="229">
        <f t="shared" si="2"/>
        <v>0</v>
      </c>
      <c r="L17" s="255"/>
      <c r="M17" s="255"/>
      <c r="N17" s="255"/>
      <c r="O17" s="255"/>
      <c r="P17" s="229">
        <f t="shared" si="3"/>
        <v>0</v>
      </c>
      <c r="Q17" s="229">
        <f t="shared" si="4"/>
        <v>0</v>
      </c>
      <c r="R17" s="229">
        <f t="shared" si="0"/>
        <v>0</v>
      </c>
      <c r="S17" s="229">
        <f t="shared" si="0"/>
        <v>0</v>
      </c>
      <c r="T17" s="229">
        <f t="shared" si="0"/>
        <v>0</v>
      </c>
      <c r="U17" s="229"/>
    </row>
    <row r="18" spans="1:21">
      <c r="A18" t="str">
        <f>IF(ABS(C18)&gt;0,基础信息!$B$1,"")</f>
        <v/>
      </c>
      <c r="B18" s="255"/>
      <c r="C18" s="255"/>
      <c r="D18" s="276"/>
      <c r="E18" s="255"/>
      <c r="F18" s="255"/>
      <c r="G18" s="255"/>
      <c r="H18" s="255"/>
      <c r="I18" s="255"/>
      <c r="J18" s="229">
        <f t="shared" si="1"/>
        <v>0</v>
      </c>
      <c r="K18" s="229">
        <f t="shared" si="2"/>
        <v>0</v>
      </c>
      <c r="L18" s="255"/>
      <c r="M18" s="255"/>
      <c r="N18" s="255"/>
      <c r="O18" s="255"/>
      <c r="P18" s="229">
        <f t="shared" si="3"/>
        <v>0</v>
      </c>
      <c r="Q18" s="229">
        <f t="shared" si="4"/>
        <v>0</v>
      </c>
      <c r="R18" s="229">
        <f t="shared" si="4"/>
        <v>0</v>
      </c>
      <c r="S18" s="229">
        <f t="shared" si="4"/>
        <v>0</v>
      </c>
      <c r="T18" s="229">
        <f t="shared" si="4"/>
        <v>0</v>
      </c>
      <c r="U18" s="229"/>
    </row>
    <row r="19" spans="1:21">
      <c r="A19" t="str">
        <f>IF(ABS(C19)&gt;0,基础信息!$B$1,"")</f>
        <v/>
      </c>
      <c r="B19" s="255"/>
      <c r="C19" s="255"/>
      <c r="D19" s="276"/>
      <c r="E19" s="255"/>
      <c r="F19" s="255"/>
      <c r="G19" s="255"/>
      <c r="H19" s="255"/>
      <c r="I19" s="255"/>
      <c r="J19" s="229">
        <f t="shared" si="1"/>
        <v>0</v>
      </c>
      <c r="K19" s="229">
        <f t="shared" si="2"/>
        <v>0</v>
      </c>
      <c r="L19" s="255"/>
      <c r="M19" s="255"/>
      <c r="N19" s="255"/>
      <c r="O19" s="255"/>
      <c r="P19" s="229">
        <f t="shared" si="3"/>
        <v>0</v>
      </c>
      <c r="Q19" s="229">
        <f t="shared" si="4"/>
        <v>0</v>
      </c>
      <c r="R19" s="229">
        <f t="shared" si="4"/>
        <v>0</v>
      </c>
      <c r="S19" s="229">
        <f t="shared" si="4"/>
        <v>0</v>
      </c>
      <c r="T19" s="229">
        <f t="shared" si="4"/>
        <v>0</v>
      </c>
      <c r="U19" s="229"/>
    </row>
    <row r="20" spans="1:21">
      <c r="A20" t="str">
        <f>IF(ABS(C20)&gt;0,基础信息!$B$1,"")</f>
        <v/>
      </c>
      <c r="B20" s="255"/>
      <c r="C20" s="255"/>
      <c r="D20" s="276"/>
      <c r="E20" s="255"/>
      <c r="F20" s="255"/>
      <c r="G20" s="255"/>
      <c r="H20" s="255"/>
      <c r="I20" s="255"/>
      <c r="J20" s="229">
        <f t="shared" si="1"/>
        <v>0</v>
      </c>
      <c r="K20" s="229">
        <f t="shared" si="2"/>
        <v>0</v>
      </c>
      <c r="L20" s="255"/>
      <c r="M20" s="255"/>
      <c r="N20" s="255"/>
      <c r="O20" s="255"/>
      <c r="P20" s="229">
        <f t="shared" si="3"/>
        <v>0</v>
      </c>
      <c r="Q20" s="229">
        <f t="shared" si="4"/>
        <v>0</v>
      </c>
      <c r="R20" s="229">
        <f t="shared" si="4"/>
        <v>0</v>
      </c>
      <c r="S20" s="229">
        <f t="shared" si="4"/>
        <v>0</v>
      </c>
      <c r="T20" s="229">
        <f t="shared" si="4"/>
        <v>0</v>
      </c>
      <c r="U20" s="229"/>
    </row>
    <row r="21" spans="1:21">
      <c r="A21" t="str">
        <f>IF(ABS(C21)&gt;0,基础信息!$B$1,"")</f>
        <v/>
      </c>
      <c r="B21" s="255"/>
      <c r="C21" s="255"/>
      <c r="D21" s="276"/>
      <c r="E21" s="255"/>
      <c r="F21" s="255"/>
      <c r="G21" s="255"/>
      <c r="H21" s="255"/>
      <c r="I21" s="255"/>
      <c r="L21" s="255"/>
      <c r="M21" s="255"/>
      <c r="N21" s="255"/>
      <c r="O21" s="255"/>
    </row>
    <row r="22" spans="1:21">
      <c r="A22" t="str">
        <f>IF(ABS(C22)&gt;0,基础信息!$B$1,"")</f>
        <v/>
      </c>
      <c r="B22" s="255"/>
      <c r="C22" s="255"/>
      <c r="D22" s="276"/>
      <c r="E22" s="255"/>
      <c r="F22" s="255"/>
      <c r="G22" s="255"/>
      <c r="H22" s="255"/>
      <c r="I22" s="255"/>
      <c r="L22" s="255"/>
      <c r="M22" s="255"/>
      <c r="N22" s="255"/>
      <c r="O22" s="255"/>
    </row>
    <row r="23" spans="1:21">
      <c r="A23" t="str">
        <f>IF(ABS(C23)&gt;0,基础信息!$B$1,"")</f>
        <v/>
      </c>
      <c r="B23" s="255"/>
      <c r="C23" s="255"/>
      <c r="D23" s="276"/>
      <c r="E23" s="255"/>
      <c r="F23" s="255"/>
      <c r="G23" s="255"/>
      <c r="H23" s="255"/>
      <c r="I23" s="255"/>
      <c r="L23" s="255"/>
      <c r="M23" s="255"/>
      <c r="N23" s="255"/>
      <c r="O23" s="255"/>
    </row>
    <row r="24" spans="1:21">
      <c r="A24" t="str">
        <f>IF(ABS(C24)&gt;0,基础信息!$B$1,"")</f>
        <v/>
      </c>
      <c r="B24" s="255"/>
      <c r="C24" s="255"/>
      <c r="D24" s="276"/>
      <c r="E24" s="255"/>
      <c r="F24" s="255"/>
      <c r="G24" s="255"/>
      <c r="H24" s="255"/>
      <c r="I24" s="255"/>
      <c r="L24" s="255"/>
      <c r="M24" s="255"/>
      <c r="N24" s="255"/>
      <c r="O24" s="255"/>
    </row>
    <row r="25" spans="1:21">
      <c r="A25" t="str">
        <f>IF(ABS(C25)&gt;0,基础信息!$B$1,"")</f>
        <v/>
      </c>
      <c r="B25" s="255"/>
      <c r="C25" s="255"/>
      <c r="D25" s="276"/>
      <c r="E25" s="255"/>
      <c r="F25" s="255"/>
      <c r="G25" s="255"/>
      <c r="H25" s="255"/>
      <c r="I25" s="255"/>
      <c r="L25" s="255"/>
      <c r="M25" s="255"/>
      <c r="N25" s="255"/>
      <c r="O25" s="255"/>
    </row>
    <row r="26" spans="1:21">
      <c r="A26" t="str">
        <f>IF(ABS(C26)&gt;0,基础信息!$B$1,"")</f>
        <v/>
      </c>
      <c r="B26" s="255"/>
      <c r="C26" s="255"/>
      <c r="D26" s="276"/>
      <c r="E26" s="255"/>
      <c r="F26" s="255"/>
      <c r="G26" s="255"/>
      <c r="H26" s="255"/>
      <c r="I26" s="255"/>
      <c r="L26" s="255"/>
      <c r="M26" s="255"/>
      <c r="N26" s="255"/>
      <c r="O26" s="255"/>
    </row>
    <row r="27" spans="1:21">
      <c r="A27" t="str">
        <f>IF(ABS(C27)&gt;0,基础信息!$B$1,"")</f>
        <v/>
      </c>
      <c r="B27" s="255"/>
      <c r="C27" s="255"/>
      <c r="D27" s="276"/>
      <c r="E27" s="255"/>
      <c r="F27" s="255"/>
      <c r="G27" s="255"/>
      <c r="H27" s="255"/>
      <c r="I27" s="255"/>
      <c r="L27" s="255"/>
      <c r="M27" s="255"/>
      <c r="N27" s="255"/>
      <c r="O27" s="255"/>
    </row>
    <row r="28" spans="1:21">
      <c r="A28" t="str">
        <f>IF(ABS(C28)&gt;0,基础信息!$B$1,"")</f>
        <v/>
      </c>
      <c r="B28" s="255"/>
      <c r="C28" s="255"/>
      <c r="D28" s="276"/>
      <c r="E28" s="255"/>
      <c r="F28" s="255"/>
      <c r="G28" s="255"/>
      <c r="H28" s="255"/>
      <c r="I28" s="255"/>
      <c r="L28" s="255"/>
      <c r="M28" s="255"/>
      <c r="N28" s="255"/>
      <c r="O28" s="255"/>
    </row>
    <row r="29" spans="1:21">
      <c r="A29" t="str">
        <f>IF(ABS(C29)&gt;0,基础信息!$B$1,"")</f>
        <v/>
      </c>
    </row>
    <row r="30" spans="1:21">
      <c r="A30" t="str">
        <f>IF(ABS(C30)&gt;0,基础信息!$B$1,"")</f>
        <v/>
      </c>
    </row>
    <row r="31" spans="1:21">
      <c r="A31" t="str">
        <f>IF(ABS(C31)&gt;0,基础信息!$B$1,"")</f>
        <v/>
      </c>
    </row>
    <row r="32" spans="1:21">
      <c r="A32" t="str">
        <f>IF(ABS(C32)&gt;0,基础信息!$B$1,"")</f>
        <v/>
      </c>
    </row>
    <row r="33" spans="1:1">
      <c r="A33" t="str">
        <f>IF(ABS(C33)&gt;0,基础信息!$B$1,"")</f>
        <v/>
      </c>
    </row>
    <row r="34" spans="1:1">
      <c r="A34" t="str">
        <f>IF(ABS(C34)&gt;0,基础信息!$B$1,"")</f>
        <v/>
      </c>
    </row>
    <row r="35" spans="1:1">
      <c r="A35" t="str">
        <f>IF(ABS(C35)&gt;0,基础信息!$B$1,"")</f>
        <v/>
      </c>
    </row>
    <row r="36" spans="1:1">
      <c r="A36" t="str">
        <f>IF(ABS(C36)&gt;0,基础信息!$B$1,"")</f>
        <v/>
      </c>
    </row>
    <row r="37" spans="1:1">
      <c r="A37" t="str">
        <f>IF(ABS(C37)&gt;0,基础信息!$B$1,"")</f>
        <v/>
      </c>
    </row>
    <row r="38" spans="1:1">
      <c r="A38" t="str">
        <f>IF(ABS(C38)&gt;0,基础信息!$B$1,"")</f>
        <v/>
      </c>
    </row>
    <row r="39" spans="1:1">
      <c r="A39" t="str">
        <f>IF(ABS(C39)&gt;0,基础信息!$B$1,"")</f>
        <v/>
      </c>
    </row>
    <row r="40" spans="1:1">
      <c r="A40" t="str">
        <f>IF(ABS(C40)&gt;0,基础信息!$B$1,"")</f>
        <v/>
      </c>
    </row>
    <row r="41" spans="1:1">
      <c r="A41" t="str">
        <f>IF(ABS(C41)&gt;0,基础信息!$B$1,"")</f>
        <v/>
      </c>
    </row>
    <row r="42" spans="1:1">
      <c r="A42" t="str">
        <f>IF(ABS(C42)&gt;0,基础信息!$B$1,"")</f>
        <v/>
      </c>
    </row>
    <row r="43" spans="1:1">
      <c r="A43" t="str">
        <f>IF(ABS(C43)&gt;0,基础信息!$B$1,"")</f>
        <v/>
      </c>
    </row>
    <row r="44" spans="1:1">
      <c r="A44" t="str">
        <f>IF(ABS(C44)&gt;0,基础信息!$B$1,"")</f>
        <v/>
      </c>
    </row>
    <row r="45" spans="1:1">
      <c r="A45" t="str">
        <f>IF(ABS(C45)&gt;0,基础信息!$B$1,"")</f>
        <v/>
      </c>
    </row>
    <row r="46" spans="1:1">
      <c r="A46" t="str">
        <f>IF(ABS(C46)&gt;0,基础信息!$B$1,"")</f>
        <v/>
      </c>
    </row>
    <row r="47" spans="1:1">
      <c r="A47" t="str">
        <f>IF(ABS(C47)&gt;0,基础信息!$B$1,"")</f>
        <v/>
      </c>
    </row>
    <row r="48" spans="1:1">
      <c r="A48" t="str">
        <f>IF(ABS(C48)&gt;0,基础信息!$B$1,"")</f>
        <v/>
      </c>
    </row>
    <row r="49" spans="1:1">
      <c r="A49" t="str">
        <f>IF(ABS(C49)&gt;0,基础信息!$B$1,"")</f>
        <v/>
      </c>
    </row>
    <row r="50" spans="1:1">
      <c r="A50" t="str">
        <f>IF(ABS(C50)&gt;0,基础信息!$B$1,"")</f>
        <v/>
      </c>
    </row>
    <row r="51" spans="1:1">
      <c r="A51" t="str">
        <f>IF(ABS(C51)&gt;0,基础信息!$B$1,"")</f>
        <v/>
      </c>
    </row>
    <row r="52" spans="1:1">
      <c r="A52" t="str">
        <f>IF(ABS(C52)&gt;0,基础信息!$B$1,"")</f>
        <v/>
      </c>
    </row>
    <row r="53" spans="1:1">
      <c r="A53" t="str">
        <f>IF(ABS(C53)&gt;0,基础信息!$B$1,"")</f>
        <v/>
      </c>
    </row>
    <row r="54" spans="1:1">
      <c r="A54" t="str">
        <f>IF(ABS(C54)&gt;0,基础信息!$B$1,"")</f>
        <v/>
      </c>
    </row>
    <row r="55" spans="1:1">
      <c r="A55" t="str">
        <f>IF(ABS(C55)&gt;0,基础信息!$B$1,"")</f>
        <v/>
      </c>
    </row>
    <row r="56" spans="1:1">
      <c r="A56" t="str">
        <f>IF(ABS(C56)&gt;0,基础信息!$B$1,"")</f>
        <v/>
      </c>
    </row>
    <row r="57" spans="1:1">
      <c r="A57" t="str">
        <f>IF(ABS(C57)&gt;0,基础信息!$B$1,"")</f>
        <v/>
      </c>
    </row>
    <row r="58" spans="1:1">
      <c r="A58" t="str">
        <f>IF(ABS(C58)&gt;0,基础信息!$B$1,"")</f>
        <v/>
      </c>
    </row>
    <row r="59" spans="1:1">
      <c r="A59" t="str">
        <f>IF(ABS(C59)&gt;0,基础信息!$B$1,"")</f>
        <v/>
      </c>
    </row>
    <row r="60" spans="1:1">
      <c r="A60" t="str">
        <f>IF(ABS(C60)&gt;0,基础信息!$B$1,"")</f>
        <v/>
      </c>
    </row>
    <row r="61" spans="1:1">
      <c r="A61" t="str">
        <f>IF(ABS(C61)&gt;0,基础信息!$B$1,"")</f>
        <v/>
      </c>
    </row>
    <row r="62" spans="1:1">
      <c r="A62" t="str">
        <f>IF(ABS(C62)&gt;0,基础信息!$B$1,"")</f>
        <v/>
      </c>
    </row>
    <row r="63" spans="1:1">
      <c r="A63" t="str">
        <f>IF(ABS(C63)&gt;0,基础信息!$B$1,"")</f>
        <v/>
      </c>
    </row>
    <row r="64" spans="1:1">
      <c r="A64" t="str">
        <f>IF(ABS(C64)&gt;0,基础信息!$B$1,"")</f>
        <v/>
      </c>
    </row>
    <row r="65" spans="1:1">
      <c r="A65" t="str">
        <f>IF(ABS(C65)&gt;0,基础信息!$B$1,"")</f>
        <v/>
      </c>
    </row>
    <row r="66" spans="1:1">
      <c r="A66" t="str">
        <f>IF(ABS(C66)&gt;0,基础信息!$B$1,"")</f>
        <v/>
      </c>
    </row>
    <row r="67" spans="1:1">
      <c r="A67" t="str">
        <f>IF(ABS(C67)&gt;0,基础信息!$B$1,"")</f>
        <v/>
      </c>
    </row>
    <row r="68" spans="1:1">
      <c r="A68" t="str">
        <f>IF(ABS(C68)&gt;0,基础信息!$B$1,"")</f>
        <v/>
      </c>
    </row>
    <row r="69" spans="1:1">
      <c r="A69" t="str">
        <f>IF(ABS(C69)&gt;0,基础信息!$B$1,"")</f>
        <v/>
      </c>
    </row>
    <row r="70" spans="1:1">
      <c r="A70" t="str">
        <f>IF(ABS(C70)&gt;0,基础信息!$B$1,"")</f>
        <v/>
      </c>
    </row>
    <row r="71" spans="1:1">
      <c r="A71" t="str">
        <f>IF(ABS(C71)&gt;0,基础信息!$B$1,"")</f>
        <v/>
      </c>
    </row>
    <row r="72" spans="1:1">
      <c r="A72" t="str">
        <f>IF(ABS(C72)&gt;0,基础信息!$B$1,"")</f>
        <v/>
      </c>
    </row>
    <row r="73" spans="1:1">
      <c r="A73" t="str">
        <f>IF(ABS(C73)&gt;0,基础信息!$B$1,"")</f>
        <v/>
      </c>
    </row>
    <row r="74" spans="1:1">
      <c r="A74" t="str">
        <f>IF(ABS(C74)&gt;0,基础信息!$B$1,"")</f>
        <v/>
      </c>
    </row>
    <row r="75" spans="1:1">
      <c r="A75" t="str">
        <f>IF(ABS(C75)&gt;0,基础信息!$B$1,"")</f>
        <v/>
      </c>
    </row>
    <row r="76" spans="1:1">
      <c r="A76" t="str">
        <f>IF(ABS(C76)&gt;0,基础信息!$B$1,"")</f>
        <v/>
      </c>
    </row>
    <row r="77" spans="1:1">
      <c r="A77" t="str">
        <f>IF(ABS(C77)&gt;0,基础信息!$B$1,"")</f>
        <v/>
      </c>
    </row>
    <row r="78" spans="1:1">
      <c r="A78" t="str">
        <f>IF(ABS(C78)&gt;0,基础信息!$B$1,"")</f>
        <v/>
      </c>
    </row>
    <row r="79" spans="1:1">
      <c r="A79" t="str">
        <f>IF(ABS(C79)&gt;0,基础信息!$B$1,"")</f>
        <v/>
      </c>
    </row>
    <row r="80" spans="1:1">
      <c r="A80" t="str">
        <f>IF(ABS(C80)&gt;0,基础信息!$B$1,"")</f>
        <v/>
      </c>
    </row>
    <row r="81" spans="1:1">
      <c r="A81" t="str">
        <f>IF(ABS(C81)&gt;0,基础信息!$B$1,"")</f>
        <v/>
      </c>
    </row>
    <row r="82" spans="1:1">
      <c r="A82" t="str">
        <f>IF(ABS(C82)&gt;0,基础信息!$B$1,"")</f>
        <v/>
      </c>
    </row>
    <row r="83" spans="1:1">
      <c r="A83" t="str">
        <f>IF(ABS(C83)&gt;0,基础信息!$B$1,"")</f>
        <v/>
      </c>
    </row>
    <row r="84" spans="1:1">
      <c r="A84" t="str">
        <f>IF(ABS(C84)&gt;0,基础信息!$B$1,"")</f>
        <v/>
      </c>
    </row>
    <row r="85" spans="1:1">
      <c r="A85" t="str">
        <f>IF(ABS(C85)&gt;0,基础信息!$B$1,"")</f>
        <v/>
      </c>
    </row>
    <row r="86" spans="1:1">
      <c r="A86" t="str">
        <f>IF(ABS(C86)&gt;0,基础信息!$B$1,"")</f>
        <v/>
      </c>
    </row>
    <row r="87" spans="1:1">
      <c r="A87" t="str">
        <f>IF(ABS(C87)&gt;0,基础信息!$B$1,"")</f>
        <v/>
      </c>
    </row>
    <row r="88" spans="1:1">
      <c r="A88" t="str">
        <f>IF(ABS(C88)&gt;0,基础信息!$B$1,"")</f>
        <v/>
      </c>
    </row>
    <row r="89" spans="1:1">
      <c r="A89" t="str">
        <f>IF(ABS(C89)&gt;0,基础信息!$B$1,"")</f>
        <v/>
      </c>
    </row>
    <row r="90" spans="1:1">
      <c r="A90" t="str">
        <f>IF(ABS(C90)&gt;0,基础信息!$B$1,"")</f>
        <v/>
      </c>
    </row>
    <row r="91" spans="1:1">
      <c r="A91" t="str">
        <f>IF(ABS(C91)&gt;0,基础信息!$B$1,"")</f>
        <v/>
      </c>
    </row>
    <row r="92" spans="1:1">
      <c r="A92" t="str">
        <f>IF(ABS(C92)&gt;0,基础信息!$B$1,"")</f>
        <v/>
      </c>
    </row>
    <row r="93" spans="1:1">
      <c r="A93" t="str">
        <f>IF(ABS(C93)&gt;0,基础信息!$B$1,"")</f>
        <v/>
      </c>
    </row>
    <row r="94" spans="1:1">
      <c r="A94" t="str">
        <f>IF(ABS(C94)&gt;0,基础信息!$B$1,"")</f>
        <v/>
      </c>
    </row>
    <row r="95" spans="1:1">
      <c r="A95" t="str">
        <f>IF(ABS(C95)&gt;0,基础信息!$B$1,"")</f>
        <v/>
      </c>
    </row>
    <row r="96" spans="1:1">
      <c r="A96" t="str">
        <f>IF(ABS(C96)&gt;0,基础信息!$B$1,"")</f>
        <v/>
      </c>
    </row>
    <row r="97" spans="1:1">
      <c r="A97" t="str">
        <f>IF(ABS(C97)&gt;0,基础信息!$B$1,"")</f>
        <v/>
      </c>
    </row>
    <row r="98" spans="1:1">
      <c r="A98" t="str">
        <f>IF(ABS(C98)&gt;0,基础信息!$B$1,"")</f>
        <v/>
      </c>
    </row>
    <row r="99" spans="1:1">
      <c r="A99" t="str">
        <f>IF(ABS(C99)&gt;0,基础信息!$B$1,"")</f>
        <v/>
      </c>
    </row>
    <row r="100" spans="1:1">
      <c r="A100" t="str">
        <f>IF(ABS(C100)&gt;0,基础信息!$B$1,"")</f>
        <v/>
      </c>
    </row>
    <row r="101" spans="1:1">
      <c r="A101" t="str">
        <f>IF(ABS(C101)&gt;0,基础信息!$B$1,"")</f>
        <v/>
      </c>
    </row>
    <row r="102" spans="1:1">
      <c r="A102" t="str">
        <f>IF(ABS(C102)&gt;0,基础信息!$B$1,"")</f>
        <v/>
      </c>
    </row>
    <row r="103" spans="1:1">
      <c r="A103" t="str">
        <f>IF(ABS(C103)&gt;0,基础信息!$B$1,"")</f>
        <v/>
      </c>
    </row>
    <row r="104" spans="1:1">
      <c r="A104" t="str">
        <f>IF(ABS(C104)&gt;0,基础信息!$B$1,"")</f>
        <v/>
      </c>
    </row>
    <row r="105" spans="1:1">
      <c r="A105" t="str">
        <f>IF(ABS(C105)&gt;0,基础信息!$B$1,"")</f>
        <v/>
      </c>
    </row>
    <row r="106" spans="1:1">
      <c r="A106" t="str">
        <f>IF(ABS(C106)&gt;0,基础信息!$B$1,"")</f>
        <v/>
      </c>
    </row>
    <row r="107" spans="1:1">
      <c r="A107" t="str">
        <f>IF(ABS(C107)&gt;0,基础信息!$B$1,"")</f>
        <v/>
      </c>
    </row>
    <row r="108" spans="1:1">
      <c r="A108" t="str">
        <f>IF(ABS(C108)&gt;0,基础信息!$B$1,"")</f>
        <v/>
      </c>
    </row>
    <row r="109" spans="1:1">
      <c r="A109" t="str">
        <f>IF(ABS(C109)&gt;0,基础信息!$B$1,"")</f>
        <v/>
      </c>
    </row>
    <row r="110" spans="1:1">
      <c r="A110" t="str">
        <f>IF(ABS(C110)&gt;0,基础信息!$B$1,"")</f>
        <v/>
      </c>
    </row>
    <row r="111" spans="1:1">
      <c r="A111" t="str">
        <f>IF(ABS(C111)&gt;0,基础信息!$B$1,"")</f>
        <v/>
      </c>
    </row>
    <row r="112" spans="1:1">
      <c r="A112" t="str">
        <f>IF(ABS(C112)&gt;0,基础信息!$B$1,"")</f>
        <v/>
      </c>
    </row>
    <row r="113" spans="1:1">
      <c r="A113" t="str">
        <f>IF(ABS(C113)&gt;0,基础信息!$B$1,"")</f>
        <v/>
      </c>
    </row>
    <row r="114" spans="1:1">
      <c r="A114" t="str">
        <f>IF(ABS(C114)&gt;0,基础信息!$B$1,"")</f>
        <v/>
      </c>
    </row>
    <row r="115" spans="1:1">
      <c r="A115" t="str">
        <f>IF(ABS(C115)&gt;0,基础信息!$B$1,"")</f>
        <v/>
      </c>
    </row>
    <row r="116" spans="1:1">
      <c r="A116" t="str">
        <f>IF(ABS(C116)&gt;0,基础信息!$B$1,"")</f>
        <v/>
      </c>
    </row>
    <row r="117" spans="1:1">
      <c r="A117" t="str">
        <f>IF(ABS(C117)&gt;0,基础信息!$B$1,"")</f>
        <v/>
      </c>
    </row>
    <row r="118" spans="1:1">
      <c r="A118" t="str">
        <f>IF(ABS(C118)&gt;0,基础信息!$B$1,"")</f>
        <v/>
      </c>
    </row>
    <row r="119" spans="1:1">
      <c r="A119" t="str">
        <f>IF(ABS(C119)&gt;0,基础信息!$B$1,"")</f>
        <v/>
      </c>
    </row>
    <row r="120" spans="1:1">
      <c r="A120" t="str">
        <f>IF(ABS(C120)&gt;0,基础信息!$B$1,"")</f>
        <v/>
      </c>
    </row>
    <row r="121" spans="1:1">
      <c r="A121" t="str">
        <f>IF(ABS(C121)&gt;0,基础信息!$B$1,"")</f>
        <v/>
      </c>
    </row>
    <row r="122" spans="1:1">
      <c r="A122" t="str">
        <f>IF(ABS(C122)&gt;0,基础信息!$B$1,"")</f>
        <v/>
      </c>
    </row>
    <row r="123" spans="1:1">
      <c r="A123" t="str">
        <f>IF(ABS(C123)&gt;0,基础信息!$B$1,"")</f>
        <v/>
      </c>
    </row>
    <row r="124" spans="1:1">
      <c r="A124" t="str">
        <f>IF(ABS(C124)&gt;0,基础信息!$B$1,"")</f>
        <v/>
      </c>
    </row>
    <row r="125" spans="1:1">
      <c r="A125" t="str">
        <f>IF(ABS(C125)&gt;0,基础信息!$B$1,"")</f>
        <v/>
      </c>
    </row>
    <row r="126" spans="1:1">
      <c r="A126" t="str">
        <f>IF(ABS(C126)&gt;0,基础信息!$B$1,"")</f>
        <v/>
      </c>
    </row>
    <row r="127" spans="1:1">
      <c r="A127" t="str">
        <f>IF(ABS(C127)&gt;0,基础信息!$B$1,"")</f>
        <v/>
      </c>
    </row>
    <row r="128" spans="1:1">
      <c r="A128" t="str">
        <f>IF(ABS(C128)&gt;0,基础信息!$B$1,"")</f>
        <v/>
      </c>
    </row>
    <row r="129" spans="1:1">
      <c r="A129" t="str">
        <f>IF(ABS(C129)&gt;0,基础信息!$B$1,"")</f>
        <v/>
      </c>
    </row>
    <row r="130" spans="1:1">
      <c r="A130" t="str">
        <f>IF(ABS(C130)&gt;0,基础信息!$B$1,"")</f>
        <v/>
      </c>
    </row>
    <row r="131" spans="1:1">
      <c r="A131" t="str">
        <f>IF(ABS(C131)&gt;0,基础信息!$B$1,"")</f>
        <v/>
      </c>
    </row>
    <row r="132" spans="1:1">
      <c r="A132" t="str">
        <f>IF(ABS(C132)&gt;0,基础信息!$B$1,"")</f>
        <v/>
      </c>
    </row>
    <row r="133" spans="1:1">
      <c r="A133" t="str">
        <f>IF(ABS(C133)&gt;0,基础信息!$B$1,"")</f>
        <v/>
      </c>
    </row>
    <row r="134" spans="1:1">
      <c r="A134" t="str">
        <f>IF(ABS(C134)&gt;0,基础信息!$B$1,"")</f>
        <v/>
      </c>
    </row>
    <row r="135" spans="1:1">
      <c r="A135" t="str">
        <f>IF(ABS(C135)&gt;0,基础信息!$B$1,"")</f>
        <v/>
      </c>
    </row>
    <row r="136" spans="1:1">
      <c r="A136" t="str">
        <f>IF(ABS(C136)&gt;0,基础信息!$B$1,"")</f>
        <v/>
      </c>
    </row>
    <row r="137" spans="1:1">
      <c r="A137" t="str">
        <f>IF(ABS(C137)&gt;0,基础信息!$B$1,"")</f>
        <v/>
      </c>
    </row>
    <row r="138" spans="1:1">
      <c r="A138" t="str">
        <f>IF(ABS(C138)&gt;0,基础信息!$B$1,"")</f>
        <v/>
      </c>
    </row>
    <row r="139" spans="1:1">
      <c r="A139" t="str">
        <f>IF(ABS(C139)&gt;0,基础信息!$B$1,"")</f>
        <v/>
      </c>
    </row>
    <row r="140" spans="1:1">
      <c r="A140" t="str">
        <f>IF(ABS(C140)&gt;0,基础信息!$B$1,"")</f>
        <v/>
      </c>
    </row>
    <row r="141" spans="1:1">
      <c r="A141" t="str">
        <f>IF(ABS(C141)&gt;0,基础信息!$B$1,"")</f>
        <v/>
      </c>
    </row>
    <row r="142" spans="1:1">
      <c r="A142" t="str">
        <f>IF(ABS(C142)&gt;0,基础信息!$B$1,"")</f>
        <v/>
      </c>
    </row>
    <row r="143" spans="1:1">
      <c r="A143" t="str">
        <f>IF(ABS(C143)&gt;0,基础信息!$B$1,"")</f>
        <v/>
      </c>
    </row>
    <row r="144" spans="1:1">
      <c r="A144" t="str">
        <f>IF(ABS(C144)&gt;0,基础信息!$B$1,"")</f>
        <v/>
      </c>
    </row>
    <row r="145" spans="1:1">
      <c r="A145" t="str">
        <f>IF(ABS(C145)&gt;0,基础信息!$B$1,"")</f>
        <v/>
      </c>
    </row>
    <row r="146" spans="1:1">
      <c r="A146" t="str">
        <f>IF(ABS(C146)&gt;0,基础信息!$B$1,"")</f>
        <v/>
      </c>
    </row>
    <row r="147" spans="1:1">
      <c r="A147" t="str">
        <f>IF(ABS(C147)&gt;0,基础信息!$B$1,"")</f>
        <v/>
      </c>
    </row>
    <row r="148" spans="1:1">
      <c r="A148" t="str">
        <f>IF(ABS(C148)&gt;0,基础信息!$B$1,"")</f>
        <v/>
      </c>
    </row>
    <row r="149" spans="1:1">
      <c r="A149" t="str">
        <f>IF(ABS(C149)&gt;0,基础信息!$B$1,"")</f>
        <v/>
      </c>
    </row>
    <row r="150" spans="1:1">
      <c r="A150" t="str">
        <f>IF(ABS(C150)&gt;0,基础信息!$B$1,"")</f>
        <v/>
      </c>
    </row>
    <row r="151" spans="1:1">
      <c r="A151" t="str">
        <f>IF(ABS(C151)&gt;0,基础信息!$B$1,"")</f>
        <v/>
      </c>
    </row>
    <row r="152" spans="1:1">
      <c r="A152" t="str">
        <f>IF(ABS(C152)&gt;0,基础信息!$B$1,"")</f>
        <v/>
      </c>
    </row>
    <row r="153" spans="1:1">
      <c r="A153" t="str">
        <f>IF(ABS(C153)&gt;0,基础信息!$B$1,"")</f>
        <v/>
      </c>
    </row>
    <row r="154" spans="1:1">
      <c r="A154" t="str">
        <f>IF(ABS(C154)&gt;0,基础信息!$B$1,"")</f>
        <v/>
      </c>
    </row>
    <row r="155" spans="1:1">
      <c r="A155" t="str">
        <f>IF(ABS(C155)&gt;0,基础信息!$B$1,"")</f>
        <v/>
      </c>
    </row>
    <row r="156" spans="1:1">
      <c r="A156" t="str">
        <f>IF(ABS(C156)&gt;0,基础信息!$B$1,"")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646C7F4-2D6F-4103-A229-DCCB7E37668F}">
          <x14:formula1>
            <xm:f>分类表!#REF!</xm:f>
          </x14:formula1>
          <xm:sqref>D29:D38</xm:sqref>
        </x14:dataValidation>
        <x14:dataValidation type="list" allowBlank="1" showInputMessage="1" showErrorMessage="1" xr:uid="{088D2666-E307-46B0-B3CD-9F7A3D52A4E7}">
          <x14:formula1>
            <xm:f>分类表!$9:$9</xm:f>
          </x14:formula1>
          <xm:sqref>D2:D28</xm:sqref>
        </x14:dataValidation>
      </x14:dataValidations>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sheetPr codeName="Sheet107">
    <tabColor rgb="FFFFC000"/>
  </sheetPr>
  <dimension ref="A1:C5"/>
  <sheetViews>
    <sheetView workbookViewId="0">
      <selection sqref="A1:C5"/>
    </sheetView>
  </sheetViews>
  <sheetFormatPr defaultRowHeight="13.8"/>
  <cols>
    <col min="1" max="1" width="13.88671875" style="18" bestFit="1" customWidth="1"/>
    <col min="2" max="2" width="9.5546875" style="18" bestFit="1" customWidth="1"/>
    <col min="3" max="16384" width="8.88671875" style="18"/>
  </cols>
  <sheetData>
    <row r="1" spans="1:3">
      <c r="A1" s="18" t="s">
        <v>28</v>
      </c>
      <c r="B1" s="18" t="s">
        <v>390</v>
      </c>
      <c r="C1" s="18" t="s">
        <v>578</v>
      </c>
    </row>
    <row r="2" spans="1:3">
      <c r="A2" s="18" t="s">
        <v>281</v>
      </c>
      <c r="B2" s="1">
        <f>ROUND(应收利息分类!B6,2)</f>
        <v>0</v>
      </c>
      <c r="C2" s="1">
        <f>ROUND(应收利息分类!C6,2)</f>
        <v>0</v>
      </c>
    </row>
    <row r="3" spans="1:3">
      <c r="A3" s="18" t="s">
        <v>282</v>
      </c>
      <c r="B3" s="1">
        <f>ROUND(应收股利明细!B5,2)</f>
        <v>0</v>
      </c>
      <c r="C3" s="1">
        <f>ROUND(应收股利明细!C5,2)</f>
        <v>0</v>
      </c>
    </row>
    <row r="4" spans="1:3">
      <c r="A4" s="18" t="s">
        <v>283</v>
      </c>
      <c r="B4" s="1">
        <f>ROUND(其他应收款按性质分类情况!B34-其他应收款坏账准备变动情况!E13,2)</f>
        <v>0</v>
      </c>
      <c r="C4" s="1">
        <f>ROUND(其他应收款按性质分类情况!C34-其他应收款坏账准备变动情况!E2,2)</f>
        <v>0</v>
      </c>
    </row>
    <row r="5" spans="1:3">
      <c r="A5" s="18" t="s">
        <v>204</v>
      </c>
      <c r="B5" s="1">
        <f>ROUND(SUM(B2:B4),2)</f>
        <v>0</v>
      </c>
      <c r="C5" s="1">
        <f>ROUND(SUM(C2:C4),2)</f>
        <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7 1 a 8 8 0 - 6 c a 8 - 4 e d e - b 7 8 b - 2 7 2 d 5 e b 0 7 9 3 3 "   x m l n s = " h t t p : / / s c h e m a s . m i c r o s o f t . c o m / D a t a M a s h u p " > A A A A A J Y F A A B Q S w M E F A A C A A g A u G i d U 8 M c 1 m 2 j A A A A 9 Q A A A B I A H A B D b 2 5 m a W c v U G F j a 2 F n Z S 5 4 b W w g o h g A K K A U A A A A A A A A A A A A A A A A A A A A A A A A A A A A h Y 8 x D o I w G I W v Q r r T l r o I + S k D q x g T E + P a l A q N U A w t l n g 1 B 4 / k F c Q o 6 u b 4 v v c N 7 9 2 v N 8 j G t g n O q r e 6 M y m K M E W B M r I r t a l S N L h D u E Q Z h 4 2 Q R 1 G p Y J K N T U Z b p q h 2 7 p Q Q 4 r 3 H f o G 7 v i K M 0 o j s i 9 V W 1 q o V 6 C P r / 3 K o j X X C S I U 4 7 F 5 j O M N x j B l l m A K Z G R T a f H s 2 z X 2 2 P x D y o X F D r / i l D v M 1 k D k C e V / g D 1 B L A w Q U A A I A C A C 4 a J 1 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G i d U 6 H R g B G R A g A A u R I A A B M A H A B G b 3 J t d W x h c y 9 T Z W N 0 a W 9 u M S 5 t I K I Y A C i g F A A A A A A A A A A A A A A A A A A A A A A A A A A A A N 3 Y z Y 7 S U B y G 8 T 0 J 9 9 D U D S S E n v f 0 W + P C z M z S x C i J C + O i D B W a Q E v o I d E Q d u 7 c u H C l i f d g 4 k a 9 H p n b s D M 4 8 S P z z N K F b C j / E s r v A O 0 T 2 v L c V U 3 t P T n e 6 1 6 / 1 + + 1 i 2 J T z r w 7 / q S Y L k v P + N 5 9 b 1 m 6 f s / r b o e v b 7 u H T 8 v p + F E x L w e X G y d N 7 c r a t Q N / 4 d y 6 v R s E 8 8 o t t t P x e b M K i u 2 s c p t y 3 W z c 7 9 t t 6 V x V z 9 t g u m y m w a q o 6 u D x 2 Y P T h 2 f j 1 c w f D k f H g 5 0 W r j D d 4 b q D 7 s z + 2 e X D 5 z 9 3 H T 5 8 P r z 7 c v H + 9 c W n b 9 8 / v u m e d P V u x 5 N N U b c v m s 3 q p F l u V / X k 1 b p s B 1 e v M 9 r t / O N Q / s h z 3 Q 7 P l S / d f u R d z y 3 M Q 5 h H M I / / m O + H / V 5 V 3 / i u b 1 x u b 2 C H / 2 j J r 0 f / 3 6 L / m i c w T 2 G e w T y H u Q z t I L G I L D K L 0 C K 1 i C 1 y i + A i u S W 5 x c + a 5 J b k l u S W 5 J b k l u S W 5 J b k I c l D k o f 4 N S d 5 S P K Q 5 C H J Q 5 K H J A 9 J H p E 8 I n l E 8 g h / 4 S S P S B 6 R P C J 5 R P K I 5 D H J Y 5 L H J I 9 J H u P J j e Q x y W O S x y S P S Z 6 Q P C F 5 Q v K E 5 A n J E z y v k z w h e U L y h O Q p y V O S p y R P S Z 6 S P C V 5 i p c 0 k q c k T 0 m e k T w j e U b y j O Q Z y T O S Z y T P 8 G p O 8 o z k O c l z k u c k z 0 m e k z w n e U 7 y n O Q 5 h g y X D K a M w Z Y x G D M G a 8 Z g z h j s G Y N B Y 7 B o D C a N w T W 4 J e d w D T j o u O g 4 6 b j p O O q 4 6 j j r s O u E Y S c s O 2 H a C d t O G H f C u h P m n b D v h I E n L D x h 4 g k b T x h 5 w s o T Z p 6 w 8 4 S h J y w 9 Y e o J W 0 8 Y e 8 L a E + a e s P e E w S c s P m H y C Z t P G H 3 C 6 h N m n 7 D 7 h O E n L D 9 h + g n b T x h / w v o T 5 p + w / 4 Q B K C x A Y Q I K G 1 B / R e B t f 5 z 8 A F B L A Q I t A B Q A A g A I A L h o n V P D H N Z t o w A A A P U A A A A S A A A A A A A A A A A A A A A A A A A A A A B D b 2 5 m a W c v U G F j a 2 F n Z S 5 4 b W x Q S w E C L Q A U A A I A C A C 4 a J 1 T D 8 r p q 6 Q A A A D p A A A A E w A A A A A A A A A A A A A A A A D v A A A A W 0 N v b n R l b n R f V H l w Z X N d L n h t b F B L A Q I t A B Q A A g A I A L h o n V O h 0 Y A R k Q I A A L k S A A A T A A A A A A A A A A A A A A A A A O A B A A B G b 3 J t d W x h c y 9 T Z W N 0 a W 9 u M S 5 t U E s F B g A A A A A D A A M A w g A A A L 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F z A A A A A A A A / 3 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S / o e a B r + W I h u e x u + i h q C I g L z 4 8 R W 5 0 c n k g V H l w Z T 0 i U m V j b 3 Z l c n l U Y X J n Z X R D b 2 x 1 b W 4 i I F Z h b H V l P S J s N S I g L z 4 8 R W 5 0 c n k g V H l w Z T 0 i U m V j b 3 Z l c n l U Y X J n Z X R S b 3 c i I F Z h b H V l P S J s M S I g L z 4 8 R W 5 0 c n k g V H l w Z T 0 i R m l s b F R h c m d l d C I g V m F s d W U 9 I n N U Y W J s Z V 8 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y w m c X V v d D t D b 2 x 1 b W 4 1 J n F 1 b 3 Q 7 X S I g L z 4 8 R W 5 0 c n k g V H l w Z T 0 i R m l s b E N v b H V t b l R 5 c G V z I i B W Y W x 1 Z T 0 i c 0 J n W U d C Z 1 k 9 I i A v P j x F b n R y e S B U e X B l P S J G a W x s T G F z d F V w Z G F 0 Z W Q i I F Z h b H V l P S J k M j A y M S 0 x M i 0 y O V Q w N T o w N T o 0 O S 4 y M j k 1 M T U 4 W i I g L z 4 8 R W 5 0 c n k g V H l w Z T 0 i R m l s b E V y c m 9 y Q 2 9 1 b n Q i I F Z h b H V l P S J s M C I g L z 4 8 R W 5 0 c n k g V H l w Z T 0 i R m l s b E V y c m 9 y Q 2 9 k Z S I g V m F s d W U 9 I n N V b m t u b 3 d u I i A v P j x F b n R y e S B U e X B l P S J G a W x s Q 2 9 1 b n Q i I F Z h b H V l P S J s M T I i I C 8 + P E V u d H J 5 I F R 5 c G U 9 I l J l b G F 0 a W 9 u c 2 h p c E l u Z m 9 D b 2 5 0 Y W l u Z X I i I F Z h b H V l P S J z e y Z x d W 9 0 O 2 N v b H V t b k N v d W 5 0 J n F 1 b 3 Q 7 O j U s J n F 1 b 3 Q 7 a 2 V 5 Q 2 9 s d W 1 u T m F t Z X M m c X V v d D s 6 W 1 0 s J n F 1 b 3 Q 7 c X V l c n l S Z W x h d G l v b n N o a X B z J n F 1 b 3 Q 7 O l t d L C Z x d W 9 0 O 2 N v b H V t b k l k Z W 5 0 a X R p Z X M m c X V v d D s 6 W y Z x d W 9 0 O 1 N l Y 3 R p b 2 4 x L 1 R h Y m x l I D A v 5 p u 0 5 p S 5 5 5 q E 5 7 G 7 5 Z 6 L L n t D b 2 x 1 b W 4 x L D B 9 J n F 1 b 3 Q 7 L C Z x d W 9 0 O 1 N l Y 3 R p b 2 4 x L 1 R h Y m x l I D A v 5 p u 0 5 p S 5 5 5 q E 5 7 G 7 5 Z 6 L L n t D b 2 x 1 b W 4 y L D F 9 J n F 1 b 3 Q 7 L C Z x d W 9 0 O 1 N l Y 3 R p b 2 4 x L 1 R h Y m x l I D A v 5 p u 0 5 p S 5 5 5 q E 5 7 G 7 5 Z 6 L L n t D b 2 x 1 b W 4 z L D J 9 J n F 1 b 3 Q 7 L C Z x d W 9 0 O 1 N l Y 3 R p b 2 4 x L 1 R h Y m x l I D A v 5 p u 0 5 p S 5 5 5 q E 5 7 G 7 5 Z 6 L L n t D b 2 x 1 b W 4 0 L D N 9 J n F 1 b 3 Q 7 L C Z x d W 9 0 O 1 N l Y 3 R p b 2 4 x L 1 R h Y m x l I D A v 5 p u 0 5 p S 5 5 5 q E 5 7 G 7 5 Z 6 L L n t D b 2 x 1 b W 4 1 L D R 9 J n F 1 b 3 Q 7 X S w m c X V v d D t D b 2 x 1 b W 5 D b 3 V u d C Z x d W 9 0 O z o 1 L C Z x d W 9 0 O 0 t l e U N v b H V t b k 5 h b W V z J n F 1 b 3 Q 7 O l t d L C Z x d W 9 0 O 0 N v b H V t b k l k Z W 5 0 a X R p Z X M m c X V v d D s 6 W y Z x d W 9 0 O 1 N l Y 3 R p b 2 4 x L 1 R h Y m x l I D A v 5 p u 0 5 p S 5 5 5 q E 5 7 G 7 5 Z 6 L L n t D b 2 x 1 b W 4 x L D B 9 J n F 1 b 3 Q 7 L C Z x d W 9 0 O 1 N l Y 3 R p b 2 4 x L 1 R h Y m x l I D A v 5 p u 0 5 p S 5 5 5 q E 5 7 G 7 5 Z 6 L L n t D b 2 x 1 b W 4 y L D F 9 J n F 1 b 3 Q 7 L C Z x d W 9 0 O 1 N l Y 3 R p b 2 4 x L 1 R h Y m x l I D A v 5 p u 0 5 p S 5 5 5 q E 5 7 G 7 5 Z 6 L L n t D b 2 x 1 b W 4 z L D J 9 J n F 1 b 3 Q 7 L C Z x d W 9 0 O 1 N l Y 3 R p b 2 4 x L 1 R h Y m x l I D A v 5 p u 0 5 p S 5 5 5 q E 5 7 G 7 5 Z 6 L L n t D b 2 x 1 b W 4 0 L D N 9 J n F 1 b 3 Q 7 L C Z x d W 9 0 O 1 N l Y 3 R p b 2 4 x L 1 R h Y m x l I D A v 5 p u 0 5 p S 5 5 5 q E 5 7 G 7 5 Z 6 L L n t D b 2 x 1 b W 4 1 L D R 9 J n F 1 b 3 Q 7 X S w m c X V v d D t S Z W x h d G l v b n N o a X B J b m Z v J n F 1 b 3 Q 7 O l t d f S I g L z 4 8 R W 5 0 c n k g V H l w Z T 0 i Q W R k Z W R U b 0 R h d G F N b 2 R l b C I g V m F s d W U 9 I m w w I i A v P j x F b n R y e S B U e X B l P S J R d W V y e U l E I i B W Y W x 1 Z T 0 i c z l l M j Q 2 M z Y 3 L W V l Y z I t N G Y 4 Z C 1 h Z D U 5 L T R j M z l i N T k w M 2 Y 1 N y I g L z 4 8 L 1 N 0 Y W J s Z U V u d H J p Z X M + P C 9 J d G V t P j x J d G V t P j x J d G V t T G 9 j Y X R p b 2 4 + P E l 0 Z W 1 U e X B l P k Z v c m 1 1 b G E 8 L 0 l 0 Z W 1 U e X B l P j x J d G V t U G F 0 a D 5 T Z W N 0 a W 9 u M S 9 U Y W J s Z S U y M D A v J U U 2 J U J B J T k w 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y V F N i U 5 Q i V C N C V F N i U 5 N C V C O S V F N y U 5 Q S U 4 N C V F N y V C M S V C Q i V F N S U 5 R S U 4 Q j 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W I h u e x u + i h q C I g L z 4 8 R W 5 0 c n k g V H l w Z T 0 i U m V j b 3 Z l c n l U Y X J n Z X R D b 2 x 1 b W 4 i I F Z h b H V l P S J s M T Y 1 I i A v P j x F b n R y e S B U e X B l P S J S Z W N v d m V y e V R h c m d l d F J v d y I g V m F s d W U 9 I m w x I i A v P j x F b n R y e S B U e X B l P S J G a W x s V G F y Z 2 V 0 I i B W Y W x 1 Z T 0 i c 1 R h Y m x l X z B f X z I i I C 8 + P E V u d H J 5 I F R 5 c G U 9 I k Z p b G x l Z E N v b X B s Z X R l U m V z d W x 0 V G 9 X b 3 J r c 2 h l Z X Q i I F Z h b H V l P S J s M S I g L z 4 8 R W 5 0 c n k g V H l w Z T 0 i U m V s Y X R p b 2 5 z a G l w S W 5 m b 0 N v b n R h a W 5 l c i I g V m F s d W U 9 I n N 7 J n F 1 b 3 Q 7 Y 2 9 s d W 1 u Q 2 9 1 b n Q m c X V v d D s 6 M T Y 0 L C Z x d W 9 0 O 2 t l e U N v b H V t b k 5 h b W V z J n F 1 b 3 Q 7 O l t d L C Z x d W 9 0 O 3 F 1 Z X J 5 U m V s Y X R p b 2 5 z a G l w c y Z x d W 9 0 O z p b X S w m c X V v d D t j b 2 x 1 b W 5 J Z G V u d G l 0 a W V z J n F 1 b 3 Q 7 O l s m c X V v d D t T Z W N 0 a W 9 u M S 9 U Y W J s Z S A w I C g y K S / m m 7 T m l L n n m o T n s b v l n o s u e 0 N v b H V t b j E s M H 0 m c X V v d D s s J n F 1 b 3 Q 7 U 2 V j d G l v b j E v V G F i b G U g M C A o M i k v 5 p u 0 5 p S 5 5 5 q E 5 7 G 7 5 Z 6 L L n t D b 2 x 1 b W 4 y L D F 9 J n F 1 b 3 Q 7 L C Z x d W 9 0 O 1 N l Y 3 R p b 2 4 x L 1 R h Y m x l I D A g K D I p L + a b t O a U u e e a h O e x u + W e i y 5 7 Q 2 9 s d W 1 u M y w y f S Z x d W 9 0 O y w m c X V v d D t T Z W N 0 a W 9 u M S 9 U Y W J s Z S A w I C g y K S / m m 7 T m l L n n m o T n s b v l n o s u e 0 N v b H V t b j Q s M 3 0 m c X V v d D s s J n F 1 b 3 Q 7 U 2 V j d G l v b j E v V G F i b G U g M C A o M i k v 5 p u 0 5 p S 5 5 5 q E 5 7 G 7 5 Z 6 L L n t D b 2 x 1 b W 4 1 L D R 9 J n F 1 b 3 Q 7 L C Z x d W 9 0 O 1 N l Y 3 R p b 2 4 x L 1 R h Y m x l I D A g K D I p L + a b t O a U u e e a h O e x u + W e i y 5 7 Q 2 9 s d W 1 u N i w 1 f S Z x d W 9 0 O y w m c X V v d D t T Z W N 0 a W 9 u M S 9 U Y W J s Z S A w I C g y K S / m m 7 T m l L n n m o T n s b v l n o s u e 0 N v b H V t b j c s N n 0 m c X V v d D s s J n F 1 b 3 Q 7 U 2 V j d G l v b j E v V G F i b G U g M C A o M i k v 5 p u 0 5 p S 5 5 5 q E 5 7 G 7 5 Z 6 L L n t D b 2 x 1 b W 4 4 L D d 9 J n F 1 b 3 Q 7 L C Z x d W 9 0 O 1 N l Y 3 R p b 2 4 x L 1 R h Y m x l I D A g K D I p L + a b t O a U u e e a h O e x u + W e i y 5 7 Q 2 9 s d W 1 u O S w 4 f S Z x d W 9 0 O y w m c X V v d D t T Z W N 0 a W 9 u M S 9 U Y W J s Z S A w I C g y K S / m m 7 T m l L n n m o T n s b v l n o s u e 0 N v b H V t b j E w L D l 9 J n F 1 b 3 Q 7 L C Z x d W 9 0 O 1 N l Y 3 R p b 2 4 x L 1 R h Y m x l I D A g K D I p L + a b t O a U u e e a h O e x u + W e i y 5 7 Q 2 9 s d W 1 u M T E s M T B 9 J n F 1 b 3 Q 7 L C Z x d W 9 0 O 1 N l Y 3 R p b 2 4 x L 1 R h Y m x l I D A g K D I p L + a b t O a U u e e a h O e x u + W e i y 5 7 Q 2 9 s d W 1 u M T I s M T F 9 J n F 1 b 3 Q 7 L C Z x d W 9 0 O 1 N l Y 3 R p b 2 4 x L 1 R h Y m x l I D A g K D I p L + a b t O a U u e e a h O e x u + W e i y 5 7 Q 2 9 s d W 1 u M T M s M T J 9 J n F 1 b 3 Q 7 L C Z x d W 9 0 O 1 N l Y 3 R p b 2 4 x L 1 R h Y m x l I D A g K D I p L + a b t O a U u e e a h O e x u + W e i y 5 7 Q 2 9 s d W 1 u M T Q s M T N 9 J n F 1 b 3 Q 7 L C Z x d W 9 0 O 1 N l Y 3 R p b 2 4 x L 1 R h Y m x l I D A g K D I p L + a b t O a U u e e a h O e x u + W e i y 5 7 Q 2 9 s d W 1 u M T U s M T R 9 J n F 1 b 3 Q 7 L C Z x d W 9 0 O 1 N l Y 3 R p b 2 4 x L 1 R h Y m x l I D A g K D I p L + a b t O a U u e e a h O e x u + W e i y 5 7 Q 2 9 s d W 1 u M T Y s M T V 9 J n F 1 b 3 Q 7 L C Z x d W 9 0 O 1 N l Y 3 R p b 2 4 x L 1 R h Y m x l I D A g K D I p L + a b t O a U u e e a h O e x u + W e i y 5 7 Q 2 9 s d W 1 u M T c s M T Z 9 J n F 1 b 3 Q 7 L C Z x d W 9 0 O 1 N l Y 3 R p b 2 4 x L 1 R h Y m x l I D A g K D I p L + a b t O a U u e e a h O e x u + W e i y 5 7 Q 2 9 s d W 1 u M T g s M T d 9 J n F 1 b 3 Q 7 L C Z x d W 9 0 O 1 N l Y 3 R p b 2 4 x L 1 R h Y m x l I D A g K D I p L + a b t O a U u e e a h O e x u + W e i y 5 7 Q 2 9 s d W 1 u M T k s M T h 9 J n F 1 b 3 Q 7 L C Z x d W 9 0 O 1 N l Y 3 R p b 2 4 x L 1 R h Y m x l I D A g K D I p L + a b t O a U u e e a h O e x u + W e i y 5 7 Q 2 9 s d W 1 u M j A s M T l 9 J n F 1 b 3 Q 7 L C Z x d W 9 0 O 1 N l Y 3 R p b 2 4 x L 1 R h Y m x l I D A g K D I p L + a b t O a U u e e a h O e x u + W e i y 5 7 Q 2 9 s d W 1 u M j E s M j B 9 J n F 1 b 3 Q 7 L C Z x d W 9 0 O 1 N l Y 3 R p b 2 4 x L 1 R h Y m x l I D A g K D I p L + a b t O a U u e e a h O e x u + W e i y 5 7 Q 2 9 s d W 1 u M j I s M j F 9 J n F 1 b 3 Q 7 L C Z x d W 9 0 O 1 N l Y 3 R p b 2 4 x L 1 R h Y m x l I D A g K D I p L + a b t O a U u e e a h O e x u + W e i y 5 7 Q 2 9 s d W 1 u M j M s M j J 9 J n F 1 b 3 Q 7 L C Z x d W 9 0 O 1 N l Y 3 R p b 2 4 x L 1 R h Y m x l I D A g K D I p L + a b t O a U u e e a h O e x u + W e i y 5 7 Q 2 9 s d W 1 u M j Q s M j N 9 J n F 1 b 3 Q 7 L C Z x d W 9 0 O 1 N l Y 3 R p b 2 4 x L 1 R h Y m x l I D A g K D I p L + a b t O a U u e e a h O e x u + W e i y 5 7 Q 2 9 s d W 1 u M j U s M j R 9 J n F 1 b 3 Q 7 L C Z x d W 9 0 O 1 N l Y 3 R p b 2 4 x L 1 R h Y m x l I D A g K D I p L + a b t O a U u e e a h O e x u + W e i y 5 7 Q 2 9 s d W 1 u M j Y s M j V 9 J n F 1 b 3 Q 7 L C Z x d W 9 0 O 1 N l Y 3 R p b 2 4 x L 1 R h Y m x l I D A g K D I p L + a b t O a U u e e a h O e x u + W e i y 5 7 Q 2 9 s d W 1 u M j c s M j Z 9 J n F 1 b 3 Q 7 L C Z x d W 9 0 O 1 N l Y 3 R p b 2 4 x L 1 R h Y m x l I D A g K D I p L + a b t O a U u e e a h O e x u + W e i y 5 7 Q 2 9 s d W 1 u M j g s M j d 9 J n F 1 b 3 Q 7 L C Z x d W 9 0 O 1 N l Y 3 R p b 2 4 x L 1 R h Y m x l I D A g K D I p L + a b t O a U u e e a h O e x u + W e i y 5 7 Q 2 9 s d W 1 u M j k s M j h 9 J n F 1 b 3 Q 7 L C Z x d W 9 0 O 1 N l Y 3 R p b 2 4 x L 1 R h Y m x l I D A g K D I p L + a b t O a U u e e a h O e x u + W e i y 5 7 Q 2 9 s d W 1 u M z A s M j l 9 J n F 1 b 3 Q 7 L C Z x d W 9 0 O 1 N l Y 3 R p b 2 4 x L 1 R h Y m x l I D A g K D I p L + a b t O a U u e e a h O e x u + W e i y 5 7 Q 2 9 s d W 1 u M z E s M z B 9 J n F 1 b 3 Q 7 L C Z x d W 9 0 O 1 N l Y 3 R p b 2 4 x L 1 R h Y m x l I D A g K D I p L + a b t O a U u e e a h O e x u + W e i y 5 7 Q 2 9 s d W 1 u M z I s M z F 9 J n F 1 b 3 Q 7 L C Z x d W 9 0 O 1 N l Y 3 R p b 2 4 x L 1 R h Y m x l I D A g K D I p L + a b t O a U u e e a h O e x u + W e i y 5 7 Q 2 9 s d W 1 u M z M s M z J 9 J n F 1 b 3 Q 7 L C Z x d W 9 0 O 1 N l Y 3 R p b 2 4 x L 1 R h Y m x l I D A g K D I p L + a b t O a U u e e a h O e x u + W e i y 5 7 Q 2 9 s d W 1 u M z Q s M z N 9 J n F 1 b 3 Q 7 L C Z x d W 9 0 O 1 N l Y 3 R p b 2 4 x L 1 R h Y m x l I D A g K D I p L + a b t O a U u e e a h O e x u + W e i y 5 7 Q 2 9 s d W 1 u M z U s M z R 9 J n F 1 b 3 Q 7 L C Z x d W 9 0 O 1 N l Y 3 R p b 2 4 x L 1 R h Y m x l I D A g K D I p L + a b t O a U u e e a h O e x u + W e i y 5 7 Q 2 9 s d W 1 u M z Y s M z V 9 J n F 1 b 3 Q 7 L C Z x d W 9 0 O 1 N l Y 3 R p b 2 4 x L 1 R h Y m x l I D A g K D I p L + a b t O a U u e e a h O e x u + W e i y 5 7 Q 2 9 s d W 1 u M z c s M z Z 9 J n F 1 b 3 Q 7 L C Z x d W 9 0 O 1 N l Y 3 R p b 2 4 x L 1 R h Y m x l I D A g K D I p L + a b t O a U u e e a h O e x u + W e i y 5 7 Q 2 9 s d W 1 u M z g s M z d 9 J n F 1 b 3 Q 7 L C Z x d W 9 0 O 1 N l Y 3 R p b 2 4 x L 1 R h Y m x l I D A g K D I p L + a b t O a U u e e a h O e x u + W e i y 5 7 Q 2 9 s d W 1 u M z k s M z h 9 J n F 1 b 3 Q 7 L C Z x d W 9 0 O 1 N l Y 3 R p b 2 4 x L 1 R h Y m x l I D A g K D I p L + a b t O a U u e e a h O e x u + W e i y 5 7 Q 2 9 s d W 1 u N D A s M z l 9 J n F 1 b 3 Q 7 L C Z x d W 9 0 O 1 N l Y 3 R p b 2 4 x L 1 R h Y m x l I D A g K D I p L + a b t O a U u e e a h O e x u + W e i y 5 7 Q 2 9 s d W 1 u N D E s N D B 9 J n F 1 b 3 Q 7 L C Z x d W 9 0 O 1 N l Y 3 R p b 2 4 x L 1 R h Y m x l I D A g K D I p L + a b t O a U u e e a h O e x u + W e i y 5 7 Q 2 9 s d W 1 u N D I s N D F 9 J n F 1 b 3 Q 7 L C Z x d W 9 0 O 1 N l Y 3 R p b 2 4 x L 1 R h Y m x l I D A g K D I p L + a b t O a U u e e a h O e x u + W e i y 5 7 Q 2 9 s d W 1 u N D M s N D J 9 J n F 1 b 3 Q 7 L C Z x d W 9 0 O 1 N l Y 3 R p b 2 4 x L 1 R h Y m x l I D A g K D I p L + a b t O a U u e e a h O e x u + W e i y 5 7 Q 2 9 s d W 1 u N D Q s N D N 9 J n F 1 b 3 Q 7 L C Z x d W 9 0 O 1 N l Y 3 R p b 2 4 x L 1 R h Y m x l I D A g K D I p L + a b t O a U u e e a h O e x u + W e i y 5 7 Q 2 9 s d W 1 u N D U s N D R 9 J n F 1 b 3 Q 7 L C Z x d W 9 0 O 1 N l Y 3 R p b 2 4 x L 1 R h Y m x l I D A g K D I p L + a b t O a U u e e a h O e x u + W e i y 5 7 Q 2 9 s d W 1 u N D Y s N D V 9 J n F 1 b 3 Q 7 L C Z x d W 9 0 O 1 N l Y 3 R p b 2 4 x L 1 R h Y m x l I D A g K D I p L + a b t O a U u e e a h O e x u + W e i y 5 7 Q 2 9 s d W 1 u N D c s N D Z 9 J n F 1 b 3 Q 7 L C Z x d W 9 0 O 1 N l Y 3 R p b 2 4 x L 1 R h Y m x l I D A g K D I p L + a b t O a U u e e a h O e x u + W e i y 5 7 Q 2 9 s d W 1 u N D g s N D d 9 J n F 1 b 3 Q 7 L C Z x d W 9 0 O 1 N l Y 3 R p b 2 4 x L 1 R h Y m x l I D A g K D I p L + a b t O a U u e e a h O e x u + W e i y 5 7 Q 2 9 s d W 1 u N D k s N D h 9 J n F 1 b 3 Q 7 L C Z x d W 9 0 O 1 N l Y 3 R p b 2 4 x L 1 R h Y m x l I D A g K D I p L + a b t O a U u e e a h O e x u + W e i y 5 7 Q 2 9 s d W 1 u N T A s N D l 9 J n F 1 b 3 Q 7 L C Z x d W 9 0 O 1 N l Y 3 R p b 2 4 x L 1 R h Y m x l I D A g K D I p L + a b t O a U u e e a h O e x u + W e i y 5 7 Q 2 9 s d W 1 u N T E s N T B 9 J n F 1 b 3 Q 7 L C Z x d W 9 0 O 1 N l Y 3 R p b 2 4 x L 1 R h Y m x l I D A g K D I p L + a b t O a U u e e a h O e x u + W e i y 5 7 Q 2 9 s d W 1 u N T I s N T F 9 J n F 1 b 3 Q 7 L C Z x d W 9 0 O 1 N l Y 3 R p b 2 4 x L 1 R h Y m x l I D A g K D I p L + a b t O a U u e e a h O e x u + W e i y 5 7 Q 2 9 s d W 1 u N T M s N T J 9 J n F 1 b 3 Q 7 L C Z x d W 9 0 O 1 N l Y 3 R p b 2 4 x L 1 R h Y m x l I D A g K D I p L + a b t O a U u e e a h O e x u + W e i y 5 7 Q 2 9 s d W 1 u N T Q s N T N 9 J n F 1 b 3 Q 7 L C Z x d W 9 0 O 1 N l Y 3 R p b 2 4 x L 1 R h Y m x l I D A g K D I p L + a b t O a U u e e a h O e x u + W e i y 5 7 Q 2 9 s d W 1 u N T U s N T R 9 J n F 1 b 3 Q 7 L C Z x d W 9 0 O 1 N l Y 3 R p b 2 4 x L 1 R h Y m x l I D A g K D I p L + a b t O a U u e e a h O e x u + W e i y 5 7 Q 2 9 s d W 1 u N T Y s N T V 9 J n F 1 b 3 Q 7 L C Z x d W 9 0 O 1 N l Y 3 R p b 2 4 x L 1 R h Y m x l I D A g K D I p L + a b t O a U u e e a h O e x u + W e i y 5 7 Q 2 9 s d W 1 u N T c s N T Z 9 J n F 1 b 3 Q 7 L C Z x d W 9 0 O 1 N l Y 3 R p b 2 4 x L 1 R h Y m x l I D A g K D I p L + a b t O a U u e e a h O e x u + W e i y 5 7 Q 2 9 s d W 1 u N T g s N T d 9 J n F 1 b 3 Q 7 L C Z x d W 9 0 O 1 N l Y 3 R p b 2 4 x L 1 R h Y m x l I D A g K D I p L + a b t O a U u e e a h O e x u + W e i y 5 7 Q 2 9 s d W 1 u N T k s N T h 9 J n F 1 b 3 Q 7 L C Z x d W 9 0 O 1 N l Y 3 R p b 2 4 x L 1 R h Y m x l I D A g K D I p L + a b t O a U u e e a h O e x u + W e i y 5 7 Q 2 9 s d W 1 u N j A s N T l 9 J n F 1 b 3 Q 7 L C Z x d W 9 0 O 1 N l Y 3 R p b 2 4 x L 1 R h Y m x l I D A g K D I p L + a b t O a U u e e a h O e x u + W e i y 5 7 Q 2 9 s d W 1 u N j E s N j B 9 J n F 1 b 3 Q 7 L C Z x d W 9 0 O 1 N l Y 3 R p b 2 4 x L 1 R h Y m x l I D A g K D I p L + a b t O a U u e e a h O e x u + W e i y 5 7 Q 2 9 s d W 1 u N j I s N j F 9 J n F 1 b 3 Q 7 L C Z x d W 9 0 O 1 N l Y 3 R p b 2 4 x L 1 R h Y m x l I D A g K D I p L + a b t O a U u e e a h O e x u + W e i y 5 7 Q 2 9 s d W 1 u N j M s N j J 9 J n F 1 b 3 Q 7 L C Z x d W 9 0 O 1 N l Y 3 R p b 2 4 x L 1 R h Y m x l I D A g K D I p L + a b t O a U u e e a h O e x u + W e i y 5 7 Q 2 9 s d W 1 u N j Q s N j N 9 J n F 1 b 3 Q 7 L C Z x d W 9 0 O 1 N l Y 3 R p b 2 4 x L 1 R h Y m x l I D A g K D I p L + a b t O a U u e e a h O e x u + W e i y 5 7 Q 2 9 s d W 1 u N j U s N j R 9 J n F 1 b 3 Q 7 L C Z x d W 9 0 O 1 N l Y 3 R p b 2 4 x L 1 R h Y m x l I D A g K D I p L + a b t O a U u e e a h O e x u + W e i y 5 7 Q 2 9 s d W 1 u N j Y s N j V 9 J n F 1 b 3 Q 7 L C Z x d W 9 0 O 1 N l Y 3 R p b 2 4 x L 1 R h Y m x l I D A g K D I p L + a b t O a U u e e a h O e x u + W e i y 5 7 Q 2 9 s d W 1 u N j c s N j Z 9 J n F 1 b 3 Q 7 L C Z x d W 9 0 O 1 N l Y 3 R p b 2 4 x L 1 R h Y m x l I D A g K D I p L + a b t O a U u e e a h O e x u + W e i y 5 7 Q 2 9 s d W 1 u N j g s N j d 9 J n F 1 b 3 Q 7 L C Z x d W 9 0 O 1 N l Y 3 R p b 2 4 x L 1 R h Y m x l I D A g K D I p L + a b t O a U u e e a h O e x u + W e i y 5 7 Q 2 9 s d W 1 u N j k s N j h 9 J n F 1 b 3 Q 7 L C Z x d W 9 0 O 1 N l Y 3 R p b 2 4 x L 1 R h Y m x l I D A g K D I p L + a b t O a U u e e a h O e x u + W e i y 5 7 Q 2 9 s d W 1 u N z A s N j l 9 J n F 1 b 3 Q 7 L C Z x d W 9 0 O 1 N l Y 3 R p b 2 4 x L 1 R h Y m x l I D A g K D I p L + a b t O a U u e e a h O e x u + W e i y 5 7 Q 2 9 s d W 1 u N z E s N z B 9 J n F 1 b 3 Q 7 L C Z x d W 9 0 O 1 N l Y 3 R p b 2 4 x L 1 R h Y m x l I D A g K D I p L + a b t O a U u e e a h O e x u + W e i y 5 7 Q 2 9 s d W 1 u N z I s N z F 9 J n F 1 b 3 Q 7 L C Z x d W 9 0 O 1 N l Y 3 R p b 2 4 x L 1 R h Y m x l I D A g K D I p L + a b t O a U u e e a h O e x u + W e i y 5 7 Q 2 9 s d W 1 u N z M s N z J 9 J n F 1 b 3 Q 7 L C Z x d W 9 0 O 1 N l Y 3 R p b 2 4 x L 1 R h Y m x l I D A g K D I p L + a b t O a U u e e a h O e x u + W e i y 5 7 Q 2 9 s d W 1 u N z Q s N z N 9 J n F 1 b 3 Q 7 L C Z x d W 9 0 O 1 N l Y 3 R p b 2 4 x L 1 R h Y m x l I D A g K D I p L + a b t O a U u e e a h O e x u + W e i y 5 7 Q 2 9 s d W 1 u N z U s N z R 9 J n F 1 b 3 Q 7 L C Z x d W 9 0 O 1 N l Y 3 R p b 2 4 x L 1 R h Y m x l I D A g K D I p L + a b t O a U u e e a h O e x u + W e i y 5 7 Q 2 9 s d W 1 u N z Y s N z V 9 J n F 1 b 3 Q 7 L C Z x d W 9 0 O 1 N l Y 3 R p b 2 4 x L 1 R h Y m x l I D A g K D I p L + a b t O a U u e e a h O e x u + W e i y 5 7 Q 2 9 s d W 1 u N z c s N z Z 9 J n F 1 b 3 Q 7 L C Z x d W 9 0 O 1 N l Y 3 R p b 2 4 x L 1 R h Y m x l I D A g K D I p L + a b t O a U u e e a h O e x u + W e i y 5 7 Q 2 9 s d W 1 u N z g s N z d 9 J n F 1 b 3 Q 7 L C Z x d W 9 0 O 1 N l Y 3 R p b 2 4 x L 1 R h Y m x l I D A g K D I p L + a b t O a U u e e a h O e x u + W e i y 5 7 Q 2 9 s d W 1 u N z k s N z h 9 J n F 1 b 3 Q 7 L C Z x d W 9 0 O 1 N l Y 3 R p b 2 4 x L 1 R h Y m x l I D A g K D I p L + a b t O a U u e e a h O e x u + W e i y 5 7 Q 2 9 s d W 1 u O D A s N z l 9 J n F 1 b 3 Q 7 L C Z x d W 9 0 O 1 N l Y 3 R p b 2 4 x L 1 R h Y m x l I D A g K D I p L + a b t O a U u e e a h O e x u + W e i y 5 7 Q 2 9 s d W 1 u O D E s O D B 9 J n F 1 b 3 Q 7 L C Z x d W 9 0 O 1 N l Y 3 R p b 2 4 x L 1 R h Y m x l I D A g K D I p L + a b t O a U u e e a h O e x u + W e i y 5 7 Q 2 9 s d W 1 u O D I s O D F 9 J n F 1 b 3 Q 7 L C Z x d W 9 0 O 1 N l Y 3 R p b 2 4 x L 1 R h Y m x l I D A g K D I p L + a b t O a U u e e a h O e x u + W e i y 5 7 Q 2 9 s d W 1 u O D M s O D J 9 J n F 1 b 3 Q 7 L C Z x d W 9 0 O 1 N l Y 3 R p b 2 4 x L 1 R h Y m x l I D A g K D I p L + a b t O a U u e e a h O e x u + W e i y 5 7 Q 2 9 s d W 1 u O D Q s O D N 9 J n F 1 b 3 Q 7 L C Z x d W 9 0 O 1 N l Y 3 R p b 2 4 x L 1 R h Y m x l I D A g K D I p L + a b t O a U u e e a h O e x u + W e i y 5 7 Q 2 9 s d W 1 u O D U s O D R 9 J n F 1 b 3 Q 7 L C Z x d W 9 0 O 1 N l Y 3 R p b 2 4 x L 1 R h Y m x l I D A g K D I p L + a b t O a U u e e a h O e x u + W e i y 5 7 Q 2 9 s d W 1 u O D Y s O D V 9 J n F 1 b 3 Q 7 L C Z x d W 9 0 O 1 N l Y 3 R p b 2 4 x L 1 R h Y m x l I D A g K D I p L + a b t O a U u e e a h O e x u + W e i y 5 7 Q 2 9 s d W 1 u O D c s O D Z 9 J n F 1 b 3 Q 7 L C Z x d W 9 0 O 1 N l Y 3 R p b 2 4 x L 1 R h Y m x l I D A g K D I p L + a b t O a U u e e a h O e x u + W e i y 5 7 Q 2 9 s d W 1 u O D g s O D d 9 J n F 1 b 3 Q 7 L C Z x d W 9 0 O 1 N l Y 3 R p b 2 4 x L 1 R h Y m x l I D A g K D I p L + a b t O a U u e e a h O e x u + W e i y 5 7 Q 2 9 s d W 1 u O D k s O D h 9 J n F 1 b 3 Q 7 L C Z x d W 9 0 O 1 N l Y 3 R p b 2 4 x L 1 R h Y m x l I D A g K D I p L + a b t O a U u e e a h O e x u + W e i y 5 7 Q 2 9 s d W 1 u O T A s O D l 9 J n F 1 b 3 Q 7 L C Z x d W 9 0 O 1 N l Y 3 R p b 2 4 x L 1 R h Y m x l I D A g K D I p L + a b t O a U u e e a h O e x u + W e i y 5 7 Q 2 9 s d W 1 u O T E s O T B 9 J n F 1 b 3 Q 7 L C Z x d W 9 0 O 1 N l Y 3 R p b 2 4 x L 1 R h Y m x l I D A g K D I p L + a b t O a U u e e a h O e x u + W e i y 5 7 Q 2 9 s d W 1 u O T I s O T F 9 J n F 1 b 3 Q 7 L C Z x d W 9 0 O 1 N l Y 3 R p b 2 4 x L 1 R h Y m x l I D A g K D I p L + a b t O a U u e e a h O e x u + W e i y 5 7 Q 2 9 s d W 1 u O T M s O T J 9 J n F 1 b 3 Q 7 L C Z x d W 9 0 O 1 N l Y 3 R p b 2 4 x L 1 R h Y m x l I D A g K D I p L + a b t O a U u e e a h O e x u + W e i y 5 7 Q 2 9 s d W 1 u O T Q s O T N 9 J n F 1 b 3 Q 7 L C Z x d W 9 0 O 1 N l Y 3 R p b 2 4 x L 1 R h Y m x l I D A g K D I p L + a b t O a U u e e a h O e x u + W e i y 5 7 Q 2 9 s d W 1 u O T U s O T R 9 J n F 1 b 3 Q 7 L C Z x d W 9 0 O 1 N l Y 3 R p b 2 4 x L 1 R h Y m x l I D A g K D I p L + a b t O a U u e e a h O e x u + W e i y 5 7 Q 2 9 s d W 1 u O T Y s O T V 9 J n F 1 b 3 Q 7 L C Z x d W 9 0 O 1 N l Y 3 R p b 2 4 x L 1 R h Y m x l I D A g K D I p L + a b t O a U u e e a h O e x u + W e i y 5 7 Q 2 9 s d W 1 u O T c s O T Z 9 J n F 1 b 3 Q 7 L C Z x d W 9 0 O 1 N l Y 3 R p b 2 4 x L 1 R h Y m x l I D A g K D I p L + a b t O a U u e e a h O e x u + W e i y 5 7 Q 2 9 s d W 1 u O T g s O T d 9 J n F 1 b 3 Q 7 L C Z x d W 9 0 O 1 N l Y 3 R p b 2 4 x L 1 R h Y m x l I D A g K D I p L + a b t O a U u e e a h O e x u + W e i y 5 7 Q 2 9 s d W 1 u O T k s O T h 9 J n F 1 b 3 Q 7 L C Z x d W 9 0 O 1 N l Y 3 R p b 2 4 x L 1 R h Y m x l I D A g K D I p L + a b t O a U u e e a h O e x u + W e i y 5 7 Q 2 9 s d W 1 u M T A w L D k 5 f S Z x d W 9 0 O y w m c X V v d D t T Z W N 0 a W 9 u M S 9 U Y W J s Z S A w I C g y K S / m m 7 T m l L n n m o T n s b v l n o s u e 0 N v b H V t b j E w M S w x M D B 9 J n F 1 b 3 Q 7 L C Z x d W 9 0 O 1 N l Y 3 R p b 2 4 x L 1 R h Y m x l I D A g K D I p L + a b t O a U u e e a h O e x u + W e i y 5 7 Q 2 9 s d W 1 u M T A y L D E w M X 0 m c X V v d D s s J n F 1 b 3 Q 7 U 2 V j d G l v b j E v V G F i b G U g M C A o M i k v 5 p u 0 5 p S 5 5 5 q E 5 7 G 7 5 Z 6 L L n t D b 2 x 1 b W 4 x M D M s M T A y f S Z x d W 9 0 O y w m c X V v d D t T Z W N 0 a W 9 u M S 9 U Y W J s Z S A w I C g y K S / m m 7 T m l L n n m o T n s b v l n o s u e 0 N v b H V t b j E w N C w x M D N 9 J n F 1 b 3 Q 7 L C Z x d W 9 0 O 1 N l Y 3 R p b 2 4 x L 1 R h Y m x l I D A g K D I p L + a b t O a U u e e a h O e x u + W e i y 5 7 Q 2 9 s d W 1 u M T A 1 L D E w N H 0 m c X V v d D s s J n F 1 b 3 Q 7 U 2 V j d G l v b j E v V G F i b G U g M C A o M i k v 5 p u 0 5 p S 5 5 5 q E 5 7 G 7 5 Z 6 L L n t D b 2 x 1 b W 4 x M D Y s M T A 1 f S Z x d W 9 0 O y w m c X V v d D t T Z W N 0 a W 9 u M S 9 U Y W J s Z S A w I C g y K S / m m 7 T m l L n n m o T n s b v l n o s u e 0 N v b H V t b j E w N y w x M D Z 9 J n F 1 b 3 Q 7 L C Z x d W 9 0 O 1 N l Y 3 R p b 2 4 x L 1 R h Y m x l I D A g K D I p L + a b t O a U u e e a h O e x u + W e i y 5 7 Q 2 9 s d W 1 u M T A 4 L D E w N 3 0 m c X V v d D s s J n F 1 b 3 Q 7 U 2 V j d G l v b j E v V G F i b G U g M C A o M i k v 5 p u 0 5 p S 5 5 5 q E 5 7 G 7 5 Z 6 L L n t D b 2 x 1 b W 4 x M D k s M T A 4 f S Z x d W 9 0 O y w m c X V v d D t T Z W N 0 a W 9 u M S 9 U Y W J s Z S A w I C g y K S / m m 7 T m l L n n m o T n s b v l n o s u e 0 N v b H V t b j E x M C w x M D l 9 J n F 1 b 3 Q 7 L C Z x d W 9 0 O 1 N l Y 3 R p b 2 4 x L 1 R h Y m x l I D A g K D I p L + a b t O a U u e e a h O e x u + W e i y 5 7 Q 2 9 s d W 1 u M T E x L D E x M H 0 m c X V v d D s s J n F 1 b 3 Q 7 U 2 V j d G l v b j E v V G F i b G U g M C A o M i k v 5 p u 0 5 p S 5 5 5 q E 5 7 G 7 5 Z 6 L L n t D b 2 x 1 b W 4 x M T I s M T E x f S Z x d W 9 0 O y w m c X V v d D t T Z W N 0 a W 9 u M S 9 U Y W J s Z S A w I C g y K S / m m 7 T m l L n n m o T n s b v l n o s u e 0 N v b H V t b j E x M y w x M T J 9 J n F 1 b 3 Q 7 L C Z x d W 9 0 O 1 N l Y 3 R p b 2 4 x L 1 R h Y m x l I D A g K D I p L + a b t O a U u e e a h O e x u + W e i y 5 7 Q 2 9 s d W 1 u M T E 0 L D E x M 3 0 m c X V v d D s s J n F 1 b 3 Q 7 U 2 V j d G l v b j E v V G F i b G U g M C A o M i k v 5 p u 0 5 p S 5 5 5 q E 5 7 G 7 5 Z 6 L L n t D b 2 x 1 b W 4 x M T U s M T E 0 f S Z x d W 9 0 O y w m c X V v d D t T Z W N 0 a W 9 u M S 9 U Y W J s Z S A w I C g y K S / m m 7 T m l L n n m o T n s b v l n o s u e 0 N v b H V t b j E x N i w x M T V 9 J n F 1 b 3 Q 7 L C Z x d W 9 0 O 1 N l Y 3 R p b 2 4 x L 1 R h Y m x l I D A g K D I p L + a b t O a U u e e a h O e x u + W e i y 5 7 Q 2 9 s d W 1 u M T E 3 L D E x N n 0 m c X V v d D s s J n F 1 b 3 Q 7 U 2 V j d G l v b j E v V G F i b G U g M C A o M i k v 5 p u 0 5 p S 5 5 5 q E 5 7 G 7 5 Z 6 L L n t D b 2 x 1 b W 4 x M T g s M T E 3 f S Z x d W 9 0 O y w m c X V v d D t T Z W N 0 a W 9 u M S 9 U Y W J s Z S A w I C g y K S / m m 7 T m l L n n m o T n s b v l n o s u e 0 N v b H V t b j E x O S w x M T h 9 J n F 1 b 3 Q 7 L C Z x d W 9 0 O 1 N l Y 3 R p b 2 4 x L 1 R h Y m x l I D A g K D I p L + a b t O a U u e e a h O e x u + W e i y 5 7 Q 2 9 s d W 1 u M T I w L D E x O X 0 m c X V v d D s s J n F 1 b 3 Q 7 U 2 V j d G l v b j E v V G F i b G U g M C A o M i k v 5 p u 0 5 p S 5 5 5 q E 5 7 G 7 5 Z 6 L L n t D b 2 x 1 b W 4 x M j E s M T I w f S Z x d W 9 0 O y w m c X V v d D t T Z W N 0 a W 9 u M S 9 U Y W J s Z S A w I C g y K S / m m 7 T m l L n n m o T n s b v l n o s u e 0 N v b H V t b j E y M i w x M j F 9 J n F 1 b 3 Q 7 L C Z x d W 9 0 O 1 N l Y 3 R p b 2 4 x L 1 R h Y m x l I D A g K D I p L + a b t O a U u e e a h O e x u + W e i y 5 7 Q 2 9 s d W 1 u M T I z L D E y M n 0 m c X V v d D s s J n F 1 b 3 Q 7 U 2 V j d G l v b j E v V G F i b G U g M C A o M i k v 5 p u 0 5 p S 5 5 5 q E 5 7 G 7 5 Z 6 L L n t D b 2 x 1 b W 4 x M j Q s M T I z f S Z x d W 9 0 O y w m c X V v d D t T Z W N 0 a W 9 u M S 9 U Y W J s Z S A w I C g y K S / m m 7 T m l L n n m o T n s b v l n o s u e 0 N v b H V t b j E y N S w x M j R 9 J n F 1 b 3 Q 7 L C Z x d W 9 0 O 1 N l Y 3 R p b 2 4 x L 1 R h Y m x l I D A g K D I p L + a b t O a U u e e a h O e x u + W e i y 5 7 Q 2 9 s d W 1 u M T I 2 L D E y N X 0 m c X V v d D s s J n F 1 b 3 Q 7 U 2 V j d G l v b j E v V G F i b G U g M C A o M i k v 5 p u 0 5 p S 5 5 5 q E 5 7 G 7 5 Z 6 L L n t D b 2 x 1 b W 4 x M j c s M T I 2 f S Z x d W 9 0 O y w m c X V v d D t T Z W N 0 a W 9 u M S 9 U Y W J s Z S A w I C g y K S / m m 7 T m l L n n m o T n s b v l n o s u e 0 N v b H V t b j E y O C w x M j d 9 J n F 1 b 3 Q 7 L C Z x d W 9 0 O 1 N l Y 3 R p b 2 4 x L 1 R h Y m x l I D A g K D I p L + a b t O a U u e e a h O e x u + W e i y 5 7 Q 2 9 s d W 1 u M T I 5 L D E y O H 0 m c X V v d D s s J n F 1 b 3 Q 7 U 2 V j d G l v b j E v V G F i b G U g M C A o M i k v 5 p u 0 5 p S 5 5 5 q E 5 7 G 7 5 Z 6 L L n t D b 2 x 1 b W 4 x M z A s M T I 5 f S Z x d W 9 0 O y w m c X V v d D t T Z W N 0 a W 9 u M S 9 U Y W J s Z S A w I C g y K S / m m 7 T m l L n n m o T n s b v l n o s u e 0 N v b H V t b j E z M S w x M z B 9 J n F 1 b 3 Q 7 L C Z x d W 9 0 O 1 N l Y 3 R p b 2 4 x L 1 R h Y m x l I D A g K D I p L + a b t O a U u e e a h O e x u + W e i y 5 7 Q 2 9 s d W 1 u M T M y L D E z M X 0 m c X V v d D s s J n F 1 b 3 Q 7 U 2 V j d G l v b j E v V G F i b G U g M C A o M i k v 5 p u 0 5 p S 5 5 5 q E 5 7 G 7 5 Z 6 L L n t D b 2 x 1 b W 4 x M z M s M T M y f S Z x d W 9 0 O y w m c X V v d D t T Z W N 0 a W 9 u M S 9 U Y W J s Z S A w I C g y K S / m m 7 T m l L n n m o T n s b v l n o s u e 0 N v b H V t b j E z N C w x M z N 9 J n F 1 b 3 Q 7 L C Z x d W 9 0 O 1 N l Y 3 R p b 2 4 x L 1 R h Y m x l I D A g K D I p L + a b t O a U u e e a h O e x u + W e i y 5 7 Q 2 9 s d W 1 u M T M 1 L D E z N H 0 m c X V v d D s s J n F 1 b 3 Q 7 U 2 V j d G l v b j E v V G F i b G U g M C A o M i k v 5 p u 0 5 p S 5 5 5 q E 5 7 G 7 5 Z 6 L L n t D b 2 x 1 b W 4 x M z Y s M T M 1 f S Z x d W 9 0 O y w m c X V v d D t T Z W N 0 a W 9 u M S 9 U Y W J s Z S A w I C g y K S / m m 7 T m l L n n m o T n s b v l n o s u e 0 N v b H V t b j E z N y w x M z Z 9 J n F 1 b 3 Q 7 L C Z x d W 9 0 O 1 N l Y 3 R p b 2 4 x L 1 R h Y m x l I D A g K D I p L + a b t O a U u e e a h O e x u + W e i y 5 7 Q 2 9 s d W 1 u M T M 4 L D E z N 3 0 m c X V v d D s s J n F 1 b 3 Q 7 U 2 V j d G l v b j E v V G F i b G U g M C A o M i k v 5 p u 0 5 p S 5 5 5 q E 5 7 G 7 5 Z 6 L L n t D b 2 x 1 b W 4 x M z k s M T M 4 f S Z x d W 9 0 O y w m c X V v d D t T Z W N 0 a W 9 u M S 9 U Y W J s Z S A w I C g y K S / m m 7 T m l L n n m o T n s b v l n o s u e 0 N v b H V t b j E 0 M C w x M z l 9 J n F 1 b 3 Q 7 L C Z x d W 9 0 O 1 N l Y 3 R p b 2 4 x L 1 R h Y m x l I D A g K D I p L + a b t O a U u e e a h O e x u + W e i y 5 7 Q 2 9 s d W 1 u M T Q x L D E 0 M H 0 m c X V v d D s s J n F 1 b 3 Q 7 U 2 V j d G l v b j E v V G F i b G U g M C A o M i k v 5 p u 0 5 p S 5 5 5 q E 5 7 G 7 5 Z 6 L L n t D b 2 x 1 b W 4 x N D I s M T Q x f S Z x d W 9 0 O y w m c X V v d D t T Z W N 0 a W 9 u M S 9 U Y W J s Z S A w I C g y K S / m m 7 T m l L n n m o T n s b v l n o s u e 0 N v b H V t b j E 0 M y w x N D J 9 J n F 1 b 3 Q 7 L C Z x d W 9 0 O 1 N l Y 3 R p b 2 4 x L 1 R h Y m x l I D A g K D I p L + a b t O a U u e e a h O e x u + W e i y 5 7 Q 2 9 s d W 1 u M T Q 0 L D E 0 M 3 0 m c X V v d D s s J n F 1 b 3 Q 7 U 2 V j d G l v b j E v V G F i b G U g M C A o M i k v 5 p u 0 5 p S 5 5 5 q E 5 7 G 7 5 Z 6 L L n t D b 2 x 1 b W 4 x N D U s M T Q 0 f S Z x d W 9 0 O y w m c X V v d D t T Z W N 0 a W 9 u M S 9 U Y W J s Z S A w I C g y K S / m m 7 T m l L n n m o T n s b v l n o s u e 0 N v b H V t b j E 0 N i w x N D V 9 J n F 1 b 3 Q 7 L C Z x d W 9 0 O 1 N l Y 3 R p b 2 4 x L 1 R h Y m x l I D A g K D I p L + a b t O a U u e e a h O e x u + W e i y 5 7 Q 2 9 s d W 1 u M T Q 3 L D E 0 N n 0 m c X V v d D s s J n F 1 b 3 Q 7 U 2 V j d G l v b j E v V G F i b G U g M C A o M i k v 5 p u 0 5 p S 5 5 5 q E 5 7 G 7 5 Z 6 L L n t D b 2 x 1 b W 4 x N D g s M T Q 3 f S Z x d W 9 0 O y w m c X V v d D t T Z W N 0 a W 9 u M S 9 U Y W J s Z S A w I C g y K S / m m 7 T m l L n n m o T n s b v l n o s u e 0 N v b H V t b j E 0 O S w x N D h 9 J n F 1 b 3 Q 7 L C Z x d W 9 0 O 1 N l Y 3 R p b 2 4 x L 1 R h Y m x l I D A g K D I p L + a b t O a U u e e a h O e x u + W e i y 5 7 Q 2 9 s d W 1 u M T U w L D E 0 O X 0 m c X V v d D s s J n F 1 b 3 Q 7 U 2 V j d G l v b j E v V G F i b G U g M C A o M i k v 5 p u 0 5 p S 5 5 5 q E 5 7 G 7 5 Z 6 L L n t D b 2 x 1 b W 4 x N T E s M T U w f S Z x d W 9 0 O y w m c X V v d D t T Z W N 0 a W 9 u M S 9 U Y W J s Z S A w I C g y K S / m m 7 T m l L n n m o T n s b v l n o s u e 0 N v b H V t b j E 1 M i w x N T F 9 J n F 1 b 3 Q 7 L C Z x d W 9 0 O 1 N l Y 3 R p b 2 4 x L 1 R h Y m x l I D A g K D I p L + a b t O a U u e e a h O e x u + W e i y 5 7 Q 2 9 s d W 1 u M T U z L D E 1 M n 0 m c X V v d D s s J n F 1 b 3 Q 7 U 2 V j d G l v b j E v V G F i b G U g M C A o M i k v 5 p u 0 5 p S 5 5 5 q E 5 7 G 7 5 Z 6 L L n t D b 2 x 1 b W 4 x N T Q s M T U z f S Z x d W 9 0 O y w m c X V v d D t T Z W N 0 a W 9 u M S 9 U Y W J s Z S A w I C g y K S / m m 7 T m l L n n m o T n s b v l n o s u e 0 N v b H V t b j E 1 N S w x N T R 9 J n F 1 b 3 Q 7 L C Z x d W 9 0 O 1 N l Y 3 R p b 2 4 x L 1 R h Y m x l I D A g K D I p L + a b t O a U u e e a h O e x u + W e i y 5 7 Q 2 9 s d W 1 u M T U 2 L D E 1 N X 0 m c X V v d D s s J n F 1 b 3 Q 7 U 2 V j d G l v b j E v V G F i b G U g M C A o M i k v 5 p u 0 5 p S 5 5 5 q E 5 7 G 7 5 Z 6 L L n t D b 2 x 1 b W 4 x N T c s M T U 2 f S Z x d W 9 0 O y w m c X V v d D t T Z W N 0 a W 9 u M S 9 U Y W J s Z S A w I C g y K S / m m 7 T m l L n n m o T n s b v l n o s u e 0 N v b H V t b j E 1 O C w x N T d 9 J n F 1 b 3 Q 7 L C Z x d W 9 0 O 1 N l Y 3 R p b 2 4 x L 1 R h Y m x l I D A g K D I p L + a b t O a U u e e a h O e x u + W e i y 5 7 Q 2 9 s d W 1 u M T U 5 L D E 1 O H 0 m c X V v d D s s J n F 1 b 3 Q 7 U 2 V j d G l v b j E v V G F i b G U g M C A o M i k v 5 p u 0 5 p S 5 5 5 q E 5 7 G 7 5 Z 6 L L n t D b 2 x 1 b W 4 x N j A s M T U 5 f S Z x d W 9 0 O y w m c X V v d D t T Z W N 0 a W 9 u M S 9 U Y W J s Z S A w I C g y K S / m m 7 T m l L n n m o T n s b v l n o s u e 0 N v b H V t b j E 2 M S w x N j B 9 J n F 1 b 3 Q 7 L C Z x d W 9 0 O 1 N l Y 3 R p b 2 4 x L 1 R h Y m x l I D A g K D I p L + a b t O a U u e e a h O e x u + W e i y 5 7 Q 2 9 s d W 1 u M T Y y L D E 2 M X 0 m c X V v d D s s J n F 1 b 3 Q 7 U 2 V j d G l v b j E v V G F i b G U g M C A o M i k v 5 p u 0 5 p S 5 5 5 q E 5 7 G 7 5 Z 6 L L n t D b 2 x 1 b W 4 x N j M s M T Y y f S Z x d W 9 0 O y w m c X V v d D t T Z W N 0 a W 9 u M S 9 U Y W J s Z S A w I C g y K S / m m 7 T m l L n n m o T n s b v l n o s u e 0 N v b H V t b j E 2 N C w x N j N 9 J n F 1 b 3 Q 7 X S w m c X V v d D t D b 2 x 1 b W 5 D b 3 V u d C Z x d W 9 0 O z o x N j Q s J n F 1 b 3 Q 7 S 2 V 5 Q 2 9 s d W 1 u T m F t Z X M m c X V v d D s 6 W 1 0 s J n F 1 b 3 Q 7 Q 2 9 s d W 1 u S W R l b n R p d G l l c y Z x d W 9 0 O z p b J n F 1 b 3 Q 7 U 2 V j d G l v b j E v V G F i b G U g M C A o M i k v 5 p u 0 5 p S 5 5 5 q E 5 7 G 7 5 Z 6 L L n t D b 2 x 1 b W 4 x L D B 9 J n F 1 b 3 Q 7 L C Z x d W 9 0 O 1 N l Y 3 R p b 2 4 x L 1 R h Y m x l I D A g K D I p L + a b t O a U u e e a h O e x u + W e i y 5 7 Q 2 9 s d W 1 u M i w x f S Z x d W 9 0 O y w m c X V v d D t T Z W N 0 a W 9 u M S 9 U Y W J s Z S A w I C g y K S / m m 7 T m l L n n m o T n s b v l n o s u e 0 N v b H V t b j M s M n 0 m c X V v d D s s J n F 1 b 3 Q 7 U 2 V j d G l v b j E v V G F i b G U g M C A o M i k v 5 p u 0 5 p S 5 5 5 q E 5 7 G 7 5 Z 6 L L n t D b 2 x 1 b W 4 0 L D N 9 J n F 1 b 3 Q 7 L C Z x d W 9 0 O 1 N l Y 3 R p b 2 4 x L 1 R h Y m x l I D A g K D I p L + a b t O a U u e e a h O e x u + W e i y 5 7 Q 2 9 s d W 1 u N S w 0 f S Z x d W 9 0 O y w m c X V v d D t T Z W N 0 a W 9 u M S 9 U Y W J s Z S A w I C g y K S / m m 7 T m l L n n m o T n s b v l n o s u e 0 N v b H V t b j Y s N X 0 m c X V v d D s s J n F 1 b 3 Q 7 U 2 V j d G l v b j E v V G F i b G U g M C A o M i k v 5 p u 0 5 p S 5 5 5 q E 5 7 G 7 5 Z 6 L L n t D b 2 x 1 b W 4 3 L D Z 9 J n F 1 b 3 Q 7 L C Z x d W 9 0 O 1 N l Y 3 R p b 2 4 x L 1 R h Y m x l I D A g K D I p L + a b t O a U u e e a h O e x u + W e i y 5 7 Q 2 9 s d W 1 u O C w 3 f S Z x d W 9 0 O y w m c X V v d D t T Z W N 0 a W 9 u M S 9 U Y W J s Z S A w I C g y K S / m m 7 T m l L n n m o T n s b v l n o s u e 0 N v b H V t b j k s O H 0 m c X V v d D s s J n F 1 b 3 Q 7 U 2 V j d G l v b j E v V G F i b G U g M C A o M i k v 5 p u 0 5 p S 5 5 5 q E 5 7 G 7 5 Z 6 L L n t D b 2 x 1 b W 4 x M C w 5 f S Z x d W 9 0 O y w m c X V v d D t T Z W N 0 a W 9 u M S 9 U Y W J s Z S A w I C g y K S / m m 7 T m l L n n m o T n s b v l n o s u e 0 N v b H V t b j E x L D E w f S Z x d W 9 0 O y w m c X V v d D t T Z W N 0 a W 9 u M S 9 U Y W J s Z S A w I C g y K S / m m 7 T m l L n n m o T n s b v l n o s u e 0 N v b H V t b j E y L D E x f S Z x d W 9 0 O y w m c X V v d D t T Z W N 0 a W 9 u M S 9 U Y W J s Z S A w I C g y K S / m m 7 T m l L n n m o T n s b v l n o s u e 0 N v b H V t b j E z L D E y f S Z x d W 9 0 O y w m c X V v d D t T Z W N 0 a W 9 u M S 9 U Y W J s Z S A w I C g y K S / m m 7 T m l L n n m o T n s b v l n o s u e 0 N v b H V t b j E 0 L D E z f S Z x d W 9 0 O y w m c X V v d D t T Z W N 0 a W 9 u M S 9 U Y W J s Z S A w I C g y K S / m m 7 T m l L n n m o T n s b v l n o s u e 0 N v b H V t b j E 1 L D E 0 f S Z x d W 9 0 O y w m c X V v d D t T Z W N 0 a W 9 u M S 9 U Y W J s Z S A w I C g y K S / m m 7 T m l L n n m o T n s b v l n o s u e 0 N v b H V t b j E 2 L D E 1 f S Z x d W 9 0 O y w m c X V v d D t T Z W N 0 a W 9 u M S 9 U Y W J s Z S A w I C g y K S / m m 7 T m l L n n m o T n s b v l n o s u e 0 N v b H V t b j E 3 L D E 2 f S Z x d W 9 0 O y w m c X V v d D t T Z W N 0 a W 9 u M S 9 U Y W J s Z S A w I C g y K S / m m 7 T m l L n n m o T n s b v l n o s u e 0 N v b H V t b j E 4 L D E 3 f S Z x d W 9 0 O y w m c X V v d D t T Z W N 0 a W 9 u M S 9 U Y W J s Z S A w I C g y K S / m m 7 T m l L n n m o T n s b v l n o s u e 0 N v b H V t b j E 5 L D E 4 f S Z x d W 9 0 O y w m c X V v d D t T Z W N 0 a W 9 u M S 9 U Y W J s Z S A w I C g y K S / m m 7 T m l L n n m o T n s b v l n o s u e 0 N v b H V t b j I w L D E 5 f S Z x d W 9 0 O y w m c X V v d D t T Z W N 0 a W 9 u M S 9 U Y W J s Z S A w I C g y K S / m m 7 T m l L n n m o T n s b v l n o s u e 0 N v b H V t b j I x L D I w f S Z x d W 9 0 O y w m c X V v d D t T Z W N 0 a W 9 u M S 9 U Y W J s Z S A w I C g y K S / m m 7 T m l L n n m o T n s b v l n o s u e 0 N v b H V t b j I y L D I x f S Z x d W 9 0 O y w m c X V v d D t T Z W N 0 a W 9 u M S 9 U Y W J s Z S A w I C g y K S / m m 7 T m l L n n m o T n s b v l n o s u e 0 N v b H V t b j I z L D I y f S Z x d W 9 0 O y w m c X V v d D t T Z W N 0 a W 9 u M S 9 U Y W J s Z S A w I C g y K S / m m 7 T m l L n n m o T n s b v l n o s u e 0 N v b H V t b j I 0 L D I z f S Z x d W 9 0 O y w m c X V v d D t T Z W N 0 a W 9 u M S 9 U Y W J s Z S A w I C g y K S / m m 7 T m l L n n m o T n s b v l n o s u e 0 N v b H V t b j I 1 L D I 0 f S Z x d W 9 0 O y w m c X V v d D t T Z W N 0 a W 9 u M S 9 U Y W J s Z S A w I C g y K S / m m 7 T m l L n n m o T n s b v l n o s u e 0 N v b H V t b j I 2 L D I 1 f S Z x d W 9 0 O y w m c X V v d D t T Z W N 0 a W 9 u M S 9 U Y W J s Z S A w I C g y K S / m m 7 T m l L n n m o T n s b v l n o s u e 0 N v b H V t b j I 3 L D I 2 f S Z x d W 9 0 O y w m c X V v d D t T Z W N 0 a W 9 u M S 9 U Y W J s Z S A w I C g y K S / m m 7 T m l L n n m o T n s b v l n o s u e 0 N v b H V t b j I 4 L D I 3 f S Z x d W 9 0 O y w m c X V v d D t T Z W N 0 a W 9 u M S 9 U Y W J s Z S A w I C g y K S / m m 7 T m l L n n m o T n s b v l n o s u e 0 N v b H V t b j I 5 L D I 4 f S Z x d W 9 0 O y w m c X V v d D t T Z W N 0 a W 9 u M S 9 U Y W J s Z S A w I C g y K S / m m 7 T m l L n n m o T n s b v l n o s u e 0 N v b H V t b j M w L D I 5 f S Z x d W 9 0 O y w m c X V v d D t T Z W N 0 a W 9 u M S 9 U Y W J s Z S A w I C g y K S / m m 7 T m l L n n m o T n s b v l n o s u e 0 N v b H V t b j M x L D M w f S Z x d W 9 0 O y w m c X V v d D t T Z W N 0 a W 9 u M S 9 U Y W J s Z S A w I C g y K S / m m 7 T m l L n n m o T n s b v l n o s u e 0 N v b H V t b j M y L D M x f S Z x d W 9 0 O y w m c X V v d D t T Z W N 0 a W 9 u M S 9 U Y W J s Z S A w I C g y K S / m m 7 T m l L n n m o T n s b v l n o s u e 0 N v b H V t b j M z L D M y f S Z x d W 9 0 O y w m c X V v d D t T Z W N 0 a W 9 u M S 9 U Y W J s Z S A w I C g y K S / m m 7 T m l L n n m o T n s b v l n o s u e 0 N v b H V t b j M 0 L D M z f S Z x d W 9 0 O y w m c X V v d D t T Z W N 0 a W 9 u M S 9 U Y W J s Z S A w I C g y K S / m m 7 T m l L n n m o T n s b v l n o s u e 0 N v b H V t b j M 1 L D M 0 f S Z x d W 9 0 O y w m c X V v d D t T Z W N 0 a W 9 u M S 9 U Y W J s Z S A w I C g y K S / m m 7 T m l L n n m o T n s b v l n o s u e 0 N v b H V t b j M 2 L D M 1 f S Z x d W 9 0 O y w m c X V v d D t T Z W N 0 a W 9 u M S 9 U Y W J s Z S A w I C g y K S / m m 7 T m l L n n m o T n s b v l n o s u e 0 N v b H V t b j M 3 L D M 2 f S Z x d W 9 0 O y w m c X V v d D t T Z W N 0 a W 9 u M S 9 U Y W J s Z S A w I C g y K S / m m 7 T m l L n n m o T n s b v l n o s u e 0 N v b H V t b j M 4 L D M 3 f S Z x d W 9 0 O y w m c X V v d D t T Z W N 0 a W 9 u M S 9 U Y W J s Z S A w I C g y K S / m m 7 T m l L n n m o T n s b v l n o s u e 0 N v b H V t b j M 5 L D M 4 f S Z x d W 9 0 O y w m c X V v d D t T Z W N 0 a W 9 u M S 9 U Y W J s Z S A w I C g y K S / m m 7 T m l L n n m o T n s b v l n o s u e 0 N v b H V t b j Q w L D M 5 f S Z x d W 9 0 O y w m c X V v d D t T Z W N 0 a W 9 u M S 9 U Y W J s Z S A w I C g y K S / m m 7 T m l L n n m o T n s b v l n o s u e 0 N v b H V t b j Q x L D Q w f S Z x d W 9 0 O y w m c X V v d D t T Z W N 0 a W 9 u M S 9 U Y W J s Z S A w I C g y K S / m m 7 T m l L n n m o T n s b v l n o s u e 0 N v b H V t b j Q y L D Q x f S Z x d W 9 0 O y w m c X V v d D t T Z W N 0 a W 9 u M S 9 U Y W J s Z S A w I C g y K S / m m 7 T m l L n n m o T n s b v l n o s u e 0 N v b H V t b j Q z L D Q y f S Z x d W 9 0 O y w m c X V v d D t T Z W N 0 a W 9 u M S 9 U Y W J s Z S A w I C g y K S / m m 7 T m l L n n m o T n s b v l n o s u e 0 N v b H V t b j Q 0 L D Q z f S Z x d W 9 0 O y w m c X V v d D t T Z W N 0 a W 9 u M S 9 U Y W J s Z S A w I C g y K S / m m 7 T m l L n n m o T n s b v l n o s u e 0 N v b H V t b j Q 1 L D Q 0 f S Z x d W 9 0 O y w m c X V v d D t T Z W N 0 a W 9 u M S 9 U Y W J s Z S A w I C g y K S / m m 7 T m l L n n m o T n s b v l n o s u e 0 N v b H V t b j Q 2 L D Q 1 f S Z x d W 9 0 O y w m c X V v d D t T Z W N 0 a W 9 u M S 9 U Y W J s Z S A w I C g y K S / m m 7 T m l L n n m o T n s b v l n o s u e 0 N v b H V t b j Q 3 L D Q 2 f S Z x d W 9 0 O y w m c X V v d D t T Z W N 0 a W 9 u M S 9 U Y W J s Z S A w I C g y K S / m m 7 T m l L n n m o T n s b v l n o s u e 0 N v b H V t b j Q 4 L D Q 3 f S Z x d W 9 0 O y w m c X V v d D t T Z W N 0 a W 9 u M S 9 U Y W J s Z S A w I C g y K S / m m 7 T m l L n n m o T n s b v l n o s u e 0 N v b H V t b j Q 5 L D Q 4 f S Z x d W 9 0 O y w m c X V v d D t T Z W N 0 a W 9 u M S 9 U Y W J s Z S A w I C g y K S / m m 7 T m l L n n m o T n s b v l n o s u e 0 N v b H V t b j U w L D Q 5 f S Z x d W 9 0 O y w m c X V v d D t T Z W N 0 a W 9 u M S 9 U Y W J s Z S A w I C g y K S / m m 7 T m l L n n m o T n s b v l n o s u e 0 N v b H V t b j U x L D U w f S Z x d W 9 0 O y w m c X V v d D t T Z W N 0 a W 9 u M S 9 U Y W J s Z S A w I C g y K S / m m 7 T m l L n n m o T n s b v l n o s u e 0 N v b H V t b j U y L D U x f S Z x d W 9 0 O y w m c X V v d D t T Z W N 0 a W 9 u M S 9 U Y W J s Z S A w I C g y K S / m m 7 T m l L n n m o T n s b v l n o s u e 0 N v b H V t b j U z L D U y f S Z x d W 9 0 O y w m c X V v d D t T Z W N 0 a W 9 u M S 9 U Y W J s Z S A w I C g y K S / m m 7 T m l L n n m o T n s b v l n o s u e 0 N v b H V t b j U 0 L D U z f S Z x d W 9 0 O y w m c X V v d D t T Z W N 0 a W 9 u M S 9 U Y W J s Z S A w I C g y K S / m m 7 T m l L n n m o T n s b v l n o s u e 0 N v b H V t b j U 1 L D U 0 f S Z x d W 9 0 O y w m c X V v d D t T Z W N 0 a W 9 u M S 9 U Y W J s Z S A w I C g y K S / m m 7 T m l L n n m o T n s b v l n o s u e 0 N v b H V t b j U 2 L D U 1 f S Z x d W 9 0 O y w m c X V v d D t T Z W N 0 a W 9 u M S 9 U Y W J s Z S A w I C g y K S / m m 7 T m l L n n m o T n s b v l n o s u e 0 N v b H V t b j U 3 L D U 2 f S Z x d W 9 0 O y w m c X V v d D t T Z W N 0 a W 9 u M S 9 U Y W J s Z S A w I C g y K S / m m 7 T m l L n n m o T n s b v l n o s u e 0 N v b H V t b j U 4 L D U 3 f S Z x d W 9 0 O y w m c X V v d D t T Z W N 0 a W 9 u M S 9 U Y W J s Z S A w I C g y K S / m m 7 T m l L n n m o T n s b v l n o s u e 0 N v b H V t b j U 5 L D U 4 f S Z x d W 9 0 O y w m c X V v d D t T Z W N 0 a W 9 u M S 9 U Y W J s Z S A w I C g y K S / m m 7 T m l L n n m o T n s b v l n o s u e 0 N v b H V t b j Y w L D U 5 f S Z x d W 9 0 O y w m c X V v d D t T Z W N 0 a W 9 u M S 9 U Y W J s Z S A w I C g y K S / m m 7 T m l L n n m o T n s b v l n o s u e 0 N v b H V t b j Y x L D Y w f S Z x d W 9 0 O y w m c X V v d D t T Z W N 0 a W 9 u M S 9 U Y W J s Z S A w I C g y K S / m m 7 T m l L n n m o T n s b v l n o s u e 0 N v b H V t b j Y y L D Y x f S Z x d W 9 0 O y w m c X V v d D t T Z W N 0 a W 9 u M S 9 U Y W J s Z S A w I C g y K S / m m 7 T m l L n n m o T n s b v l n o s u e 0 N v b H V t b j Y z L D Y y f S Z x d W 9 0 O y w m c X V v d D t T Z W N 0 a W 9 u M S 9 U Y W J s Z S A w I C g y K S / m m 7 T m l L n n m o T n s b v l n o s u e 0 N v b H V t b j Y 0 L D Y z f S Z x d W 9 0 O y w m c X V v d D t T Z W N 0 a W 9 u M S 9 U Y W J s Z S A w I C g y K S / m m 7 T m l L n n m o T n s b v l n o s u e 0 N v b H V t b j Y 1 L D Y 0 f S Z x d W 9 0 O y w m c X V v d D t T Z W N 0 a W 9 u M S 9 U Y W J s Z S A w I C g y K S / m m 7 T m l L n n m o T n s b v l n o s u e 0 N v b H V t b j Y 2 L D Y 1 f S Z x d W 9 0 O y w m c X V v d D t T Z W N 0 a W 9 u M S 9 U Y W J s Z S A w I C g y K S / m m 7 T m l L n n m o T n s b v l n o s u e 0 N v b H V t b j Y 3 L D Y 2 f S Z x d W 9 0 O y w m c X V v d D t T Z W N 0 a W 9 u M S 9 U Y W J s Z S A w I C g y K S / m m 7 T m l L n n m o T n s b v l n o s u e 0 N v b H V t b j Y 4 L D Y 3 f S Z x d W 9 0 O y w m c X V v d D t T Z W N 0 a W 9 u M S 9 U Y W J s Z S A w I C g y K S / m m 7 T m l L n n m o T n s b v l n o s u e 0 N v b H V t b j Y 5 L D Y 4 f S Z x d W 9 0 O y w m c X V v d D t T Z W N 0 a W 9 u M S 9 U Y W J s Z S A w I C g y K S / m m 7 T m l L n n m o T n s b v l n o s u e 0 N v b H V t b j c w L D Y 5 f S Z x d W 9 0 O y w m c X V v d D t T Z W N 0 a W 9 u M S 9 U Y W J s Z S A w I C g y K S / m m 7 T m l L n n m o T n s b v l n o s u e 0 N v b H V t b j c x L D c w f S Z x d W 9 0 O y w m c X V v d D t T Z W N 0 a W 9 u M S 9 U Y W J s Z S A w I C g y K S / m m 7 T m l L n n m o T n s b v l n o s u e 0 N v b H V t b j c y L D c x f S Z x d W 9 0 O y w m c X V v d D t T Z W N 0 a W 9 u M S 9 U Y W J s Z S A w I C g y K S / m m 7 T m l L n n m o T n s b v l n o s u e 0 N v b H V t b j c z L D c y f S Z x d W 9 0 O y w m c X V v d D t T Z W N 0 a W 9 u M S 9 U Y W J s Z S A w I C g y K S / m m 7 T m l L n n m o T n s b v l n o s u e 0 N v b H V t b j c 0 L D c z f S Z x d W 9 0 O y w m c X V v d D t T Z W N 0 a W 9 u M S 9 U Y W J s Z S A w I C g y K S / m m 7 T m l L n n m o T n s b v l n o s u e 0 N v b H V t b j c 1 L D c 0 f S Z x d W 9 0 O y w m c X V v d D t T Z W N 0 a W 9 u M S 9 U Y W J s Z S A w I C g y K S / m m 7 T m l L n n m o T n s b v l n o s u e 0 N v b H V t b j c 2 L D c 1 f S Z x d W 9 0 O y w m c X V v d D t T Z W N 0 a W 9 u M S 9 U Y W J s Z S A w I C g y K S / m m 7 T m l L n n m o T n s b v l n o s u e 0 N v b H V t b j c 3 L D c 2 f S Z x d W 9 0 O y w m c X V v d D t T Z W N 0 a W 9 u M S 9 U Y W J s Z S A w I C g y K S / m m 7 T m l L n n m o T n s b v l n o s u e 0 N v b H V t b j c 4 L D c 3 f S Z x d W 9 0 O y w m c X V v d D t T Z W N 0 a W 9 u M S 9 U Y W J s Z S A w I C g y K S / m m 7 T m l L n n m o T n s b v l n o s u e 0 N v b H V t b j c 5 L D c 4 f S Z x d W 9 0 O y w m c X V v d D t T Z W N 0 a W 9 u M S 9 U Y W J s Z S A w I C g y K S / m m 7 T m l L n n m o T n s b v l n o s u e 0 N v b H V t b j g w L D c 5 f S Z x d W 9 0 O y w m c X V v d D t T Z W N 0 a W 9 u M S 9 U Y W J s Z S A w I C g y K S / m m 7 T m l L n n m o T n s b v l n o s u e 0 N v b H V t b j g x L D g w f S Z x d W 9 0 O y w m c X V v d D t T Z W N 0 a W 9 u M S 9 U Y W J s Z S A w I C g y K S / m m 7 T m l L n n m o T n s b v l n o s u e 0 N v b H V t b j g y L D g x f S Z x d W 9 0 O y w m c X V v d D t T Z W N 0 a W 9 u M S 9 U Y W J s Z S A w I C g y K S / m m 7 T m l L n n m o T n s b v l n o s u e 0 N v b H V t b j g z L D g y f S Z x d W 9 0 O y w m c X V v d D t T Z W N 0 a W 9 u M S 9 U Y W J s Z S A w I C g y K S / m m 7 T m l L n n m o T n s b v l n o s u e 0 N v b H V t b j g 0 L D g z f S Z x d W 9 0 O y w m c X V v d D t T Z W N 0 a W 9 u M S 9 U Y W J s Z S A w I C g y K S / m m 7 T m l L n n m o T n s b v l n o s u e 0 N v b H V t b j g 1 L D g 0 f S Z x d W 9 0 O y w m c X V v d D t T Z W N 0 a W 9 u M S 9 U Y W J s Z S A w I C g y K S / m m 7 T m l L n n m o T n s b v l n o s u e 0 N v b H V t b j g 2 L D g 1 f S Z x d W 9 0 O y w m c X V v d D t T Z W N 0 a W 9 u M S 9 U Y W J s Z S A w I C g y K S / m m 7 T m l L n n m o T n s b v l n o s u e 0 N v b H V t b j g 3 L D g 2 f S Z x d W 9 0 O y w m c X V v d D t T Z W N 0 a W 9 u M S 9 U Y W J s Z S A w I C g y K S / m m 7 T m l L n n m o T n s b v l n o s u e 0 N v b H V t b j g 4 L D g 3 f S Z x d W 9 0 O y w m c X V v d D t T Z W N 0 a W 9 u M S 9 U Y W J s Z S A w I C g y K S / m m 7 T m l L n n m o T n s b v l n o s u e 0 N v b H V t b j g 5 L D g 4 f S Z x d W 9 0 O y w m c X V v d D t T Z W N 0 a W 9 u M S 9 U Y W J s Z S A w I C g y K S / m m 7 T m l L n n m o T n s b v l n o s u e 0 N v b H V t b j k w L D g 5 f S Z x d W 9 0 O y w m c X V v d D t T Z W N 0 a W 9 u M S 9 U Y W J s Z S A w I C g y K S / m m 7 T m l L n n m o T n s b v l n o s u e 0 N v b H V t b j k x L D k w f S Z x d W 9 0 O y w m c X V v d D t T Z W N 0 a W 9 u M S 9 U Y W J s Z S A w I C g y K S / m m 7 T m l L n n m o T n s b v l n o s u e 0 N v b H V t b j k y L D k x f S Z x d W 9 0 O y w m c X V v d D t T Z W N 0 a W 9 u M S 9 U Y W J s Z S A w I C g y K S / m m 7 T m l L n n m o T n s b v l n o s u e 0 N v b H V t b j k z L D k y f S Z x d W 9 0 O y w m c X V v d D t T Z W N 0 a W 9 u M S 9 U Y W J s Z S A w I C g y K S / m m 7 T m l L n n m o T n s b v l n o s u e 0 N v b H V t b j k 0 L D k z f S Z x d W 9 0 O y w m c X V v d D t T Z W N 0 a W 9 u M S 9 U Y W J s Z S A w I C g y K S / m m 7 T m l L n n m o T n s b v l n o s u e 0 N v b H V t b j k 1 L D k 0 f S Z x d W 9 0 O y w m c X V v d D t T Z W N 0 a W 9 u M S 9 U Y W J s Z S A w I C g y K S / m m 7 T m l L n n m o T n s b v l n o s u e 0 N v b H V t b j k 2 L D k 1 f S Z x d W 9 0 O y w m c X V v d D t T Z W N 0 a W 9 u M S 9 U Y W J s Z S A w I C g y K S / m m 7 T m l L n n m o T n s b v l n o s u e 0 N v b H V t b j k 3 L D k 2 f S Z x d W 9 0 O y w m c X V v d D t T Z W N 0 a W 9 u M S 9 U Y W J s Z S A w I C g y K S / m m 7 T m l L n n m o T n s b v l n o s u e 0 N v b H V t b j k 4 L D k 3 f S Z x d W 9 0 O y w m c X V v d D t T Z W N 0 a W 9 u M S 9 U Y W J s Z S A w I C g y K S / m m 7 T m l L n n m o T n s b v l n o s u e 0 N v b H V t b j k 5 L D k 4 f S Z x d W 9 0 O y w m c X V v d D t T Z W N 0 a W 9 u M S 9 U Y W J s Z S A w I C g y K S / m m 7 T m l L n n m o T n s b v l n o s u e 0 N v b H V t b j E w M C w 5 O X 0 m c X V v d D s s J n F 1 b 3 Q 7 U 2 V j d G l v b j E v V G F i b G U g M C A o M i k v 5 p u 0 5 p S 5 5 5 q E 5 7 G 7 5 Z 6 L L n t D b 2 x 1 b W 4 x M D E s M T A w f S Z x d W 9 0 O y w m c X V v d D t T Z W N 0 a W 9 u M S 9 U Y W J s Z S A w I C g y K S / m m 7 T m l L n n m o T n s b v l n o s u e 0 N v b H V t b j E w M i w x M D F 9 J n F 1 b 3 Q 7 L C Z x d W 9 0 O 1 N l Y 3 R p b 2 4 x L 1 R h Y m x l I D A g K D I p L + a b t O a U u e e a h O e x u + W e i y 5 7 Q 2 9 s d W 1 u M T A z L D E w M n 0 m c X V v d D s s J n F 1 b 3 Q 7 U 2 V j d G l v b j E v V G F i b G U g M C A o M i k v 5 p u 0 5 p S 5 5 5 q E 5 7 G 7 5 Z 6 L L n t D b 2 x 1 b W 4 x M D Q s M T A z f S Z x d W 9 0 O y w m c X V v d D t T Z W N 0 a W 9 u M S 9 U Y W J s Z S A w I C g y K S / m m 7 T m l L n n m o T n s b v l n o s u e 0 N v b H V t b j E w N S w x M D R 9 J n F 1 b 3 Q 7 L C Z x d W 9 0 O 1 N l Y 3 R p b 2 4 x L 1 R h Y m x l I D A g K D I p L + a b t O a U u e e a h O e x u + W e i y 5 7 Q 2 9 s d W 1 u M T A 2 L D E w N X 0 m c X V v d D s s J n F 1 b 3 Q 7 U 2 V j d G l v b j E v V G F i b G U g M C A o M i k v 5 p u 0 5 p S 5 5 5 q E 5 7 G 7 5 Z 6 L L n t D b 2 x 1 b W 4 x M D c s M T A 2 f S Z x d W 9 0 O y w m c X V v d D t T Z W N 0 a W 9 u M S 9 U Y W J s Z S A w I C g y K S / m m 7 T m l L n n m o T n s b v l n o s u e 0 N v b H V t b j E w O C w x M D d 9 J n F 1 b 3 Q 7 L C Z x d W 9 0 O 1 N l Y 3 R p b 2 4 x L 1 R h Y m x l I D A g K D I p L + a b t O a U u e e a h O e x u + W e i y 5 7 Q 2 9 s d W 1 u M T A 5 L D E w O H 0 m c X V v d D s s J n F 1 b 3 Q 7 U 2 V j d G l v b j E v V G F i b G U g M C A o M i k v 5 p u 0 5 p S 5 5 5 q E 5 7 G 7 5 Z 6 L L n t D b 2 x 1 b W 4 x M T A s M T A 5 f S Z x d W 9 0 O y w m c X V v d D t T Z W N 0 a W 9 u M S 9 U Y W J s Z S A w I C g y K S / m m 7 T m l L n n m o T n s b v l n o s u e 0 N v b H V t b j E x M S w x M T B 9 J n F 1 b 3 Q 7 L C Z x d W 9 0 O 1 N l Y 3 R p b 2 4 x L 1 R h Y m x l I D A g K D I p L + a b t O a U u e e a h O e x u + W e i y 5 7 Q 2 9 s d W 1 u M T E y L D E x M X 0 m c X V v d D s s J n F 1 b 3 Q 7 U 2 V j d G l v b j E v V G F i b G U g M C A o M i k v 5 p u 0 5 p S 5 5 5 q E 5 7 G 7 5 Z 6 L L n t D b 2 x 1 b W 4 x M T M s M T E y f S Z x d W 9 0 O y w m c X V v d D t T Z W N 0 a W 9 u M S 9 U Y W J s Z S A w I C g y K S / m m 7 T m l L n n m o T n s b v l n o s u e 0 N v b H V t b j E x N C w x M T N 9 J n F 1 b 3 Q 7 L C Z x d W 9 0 O 1 N l Y 3 R p b 2 4 x L 1 R h Y m x l I D A g K D I p L + a b t O a U u e e a h O e x u + W e i y 5 7 Q 2 9 s d W 1 u M T E 1 L D E x N H 0 m c X V v d D s s J n F 1 b 3 Q 7 U 2 V j d G l v b j E v V G F i b G U g M C A o M i k v 5 p u 0 5 p S 5 5 5 q E 5 7 G 7 5 Z 6 L L n t D b 2 x 1 b W 4 x M T Y s M T E 1 f S Z x d W 9 0 O y w m c X V v d D t T Z W N 0 a W 9 u M S 9 U Y W J s Z S A w I C g y K S / m m 7 T m l L n n m o T n s b v l n o s u e 0 N v b H V t b j E x N y w x M T Z 9 J n F 1 b 3 Q 7 L C Z x d W 9 0 O 1 N l Y 3 R p b 2 4 x L 1 R h Y m x l I D A g K D I p L + a b t O a U u e e a h O e x u + W e i y 5 7 Q 2 9 s d W 1 u M T E 4 L D E x N 3 0 m c X V v d D s s J n F 1 b 3 Q 7 U 2 V j d G l v b j E v V G F i b G U g M C A o M i k v 5 p u 0 5 p S 5 5 5 q E 5 7 G 7 5 Z 6 L L n t D b 2 x 1 b W 4 x M T k s M T E 4 f S Z x d W 9 0 O y w m c X V v d D t T Z W N 0 a W 9 u M S 9 U Y W J s Z S A w I C g y K S / m m 7 T m l L n n m o T n s b v l n o s u e 0 N v b H V t b j E y M C w x M T l 9 J n F 1 b 3 Q 7 L C Z x d W 9 0 O 1 N l Y 3 R p b 2 4 x L 1 R h Y m x l I D A g K D I p L + a b t O a U u e e a h O e x u + W e i y 5 7 Q 2 9 s d W 1 u M T I x L D E y M H 0 m c X V v d D s s J n F 1 b 3 Q 7 U 2 V j d G l v b j E v V G F i b G U g M C A o M i k v 5 p u 0 5 p S 5 5 5 q E 5 7 G 7 5 Z 6 L L n t D b 2 x 1 b W 4 x M j I s M T I x f S Z x d W 9 0 O y w m c X V v d D t T Z W N 0 a W 9 u M S 9 U Y W J s Z S A w I C g y K S / m m 7 T m l L n n m o T n s b v l n o s u e 0 N v b H V t b j E y M y w x M j J 9 J n F 1 b 3 Q 7 L C Z x d W 9 0 O 1 N l Y 3 R p b 2 4 x L 1 R h Y m x l I D A g K D I p L + a b t O a U u e e a h O e x u + W e i y 5 7 Q 2 9 s d W 1 u M T I 0 L D E y M 3 0 m c X V v d D s s J n F 1 b 3 Q 7 U 2 V j d G l v b j E v V G F i b G U g M C A o M i k v 5 p u 0 5 p S 5 5 5 q E 5 7 G 7 5 Z 6 L L n t D b 2 x 1 b W 4 x M j U s M T I 0 f S Z x d W 9 0 O y w m c X V v d D t T Z W N 0 a W 9 u M S 9 U Y W J s Z S A w I C g y K S / m m 7 T m l L n n m o T n s b v l n o s u e 0 N v b H V t b j E y N i w x M j V 9 J n F 1 b 3 Q 7 L C Z x d W 9 0 O 1 N l Y 3 R p b 2 4 x L 1 R h Y m x l I D A g K D I p L + a b t O a U u e e a h O e x u + W e i y 5 7 Q 2 9 s d W 1 u M T I 3 L D E y N n 0 m c X V v d D s s J n F 1 b 3 Q 7 U 2 V j d G l v b j E v V G F i b G U g M C A o M i k v 5 p u 0 5 p S 5 5 5 q E 5 7 G 7 5 Z 6 L L n t D b 2 x 1 b W 4 x M j g s M T I 3 f S Z x d W 9 0 O y w m c X V v d D t T Z W N 0 a W 9 u M S 9 U Y W J s Z S A w I C g y K S / m m 7 T m l L n n m o T n s b v l n o s u e 0 N v b H V t b j E y O S w x M j h 9 J n F 1 b 3 Q 7 L C Z x d W 9 0 O 1 N l Y 3 R p b 2 4 x L 1 R h Y m x l I D A g K D I p L + a b t O a U u e e a h O e x u + W e i y 5 7 Q 2 9 s d W 1 u M T M w L D E y O X 0 m c X V v d D s s J n F 1 b 3 Q 7 U 2 V j d G l v b j E v V G F i b G U g M C A o M i k v 5 p u 0 5 p S 5 5 5 q E 5 7 G 7 5 Z 6 L L n t D b 2 x 1 b W 4 x M z E s M T M w f S Z x d W 9 0 O y w m c X V v d D t T Z W N 0 a W 9 u M S 9 U Y W J s Z S A w I C g y K S / m m 7 T m l L n n m o T n s b v l n o s u e 0 N v b H V t b j E z M i w x M z F 9 J n F 1 b 3 Q 7 L C Z x d W 9 0 O 1 N l Y 3 R p b 2 4 x L 1 R h Y m x l I D A g K D I p L + a b t O a U u e e a h O e x u + W e i y 5 7 Q 2 9 s d W 1 u M T M z L D E z M n 0 m c X V v d D s s J n F 1 b 3 Q 7 U 2 V j d G l v b j E v V G F i b G U g M C A o M i k v 5 p u 0 5 p S 5 5 5 q E 5 7 G 7 5 Z 6 L L n t D b 2 x 1 b W 4 x M z Q s M T M z f S Z x d W 9 0 O y w m c X V v d D t T Z W N 0 a W 9 u M S 9 U Y W J s Z S A w I C g y K S / m m 7 T m l L n n m o T n s b v l n o s u e 0 N v b H V t b j E z N S w x M z R 9 J n F 1 b 3 Q 7 L C Z x d W 9 0 O 1 N l Y 3 R p b 2 4 x L 1 R h Y m x l I D A g K D I p L + a b t O a U u e e a h O e x u + W e i y 5 7 Q 2 9 s d W 1 u M T M 2 L D E z N X 0 m c X V v d D s s J n F 1 b 3 Q 7 U 2 V j d G l v b j E v V G F i b G U g M C A o M i k v 5 p u 0 5 p S 5 5 5 q E 5 7 G 7 5 Z 6 L L n t D b 2 x 1 b W 4 x M z c s M T M 2 f S Z x d W 9 0 O y w m c X V v d D t T Z W N 0 a W 9 u M S 9 U Y W J s Z S A w I C g y K S / m m 7 T m l L n n m o T n s b v l n o s u e 0 N v b H V t b j E z O C w x M z d 9 J n F 1 b 3 Q 7 L C Z x d W 9 0 O 1 N l Y 3 R p b 2 4 x L 1 R h Y m x l I D A g K D I p L + a b t O a U u e e a h O e x u + W e i y 5 7 Q 2 9 s d W 1 u M T M 5 L D E z O H 0 m c X V v d D s s J n F 1 b 3 Q 7 U 2 V j d G l v b j E v V G F i b G U g M C A o M i k v 5 p u 0 5 p S 5 5 5 q E 5 7 G 7 5 Z 6 L L n t D b 2 x 1 b W 4 x N D A s M T M 5 f S Z x d W 9 0 O y w m c X V v d D t T Z W N 0 a W 9 u M S 9 U Y W J s Z S A w I C g y K S / m m 7 T m l L n n m o T n s b v l n o s u e 0 N v b H V t b j E 0 M S w x N D B 9 J n F 1 b 3 Q 7 L C Z x d W 9 0 O 1 N l Y 3 R p b 2 4 x L 1 R h Y m x l I D A g K D I p L + a b t O a U u e e a h O e x u + W e i y 5 7 Q 2 9 s d W 1 u M T Q y L D E 0 M X 0 m c X V v d D s s J n F 1 b 3 Q 7 U 2 V j d G l v b j E v V G F i b G U g M C A o M i k v 5 p u 0 5 p S 5 5 5 q E 5 7 G 7 5 Z 6 L L n t D b 2 x 1 b W 4 x N D M s M T Q y f S Z x d W 9 0 O y w m c X V v d D t T Z W N 0 a W 9 u M S 9 U Y W J s Z S A w I C g y K S / m m 7 T m l L n n m o T n s b v l n o s u e 0 N v b H V t b j E 0 N C w x N D N 9 J n F 1 b 3 Q 7 L C Z x d W 9 0 O 1 N l Y 3 R p b 2 4 x L 1 R h Y m x l I D A g K D I p L + a b t O a U u e e a h O e x u + W e i y 5 7 Q 2 9 s d W 1 u M T Q 1 L D E 0 N H 0 m c X V v d D s s J n F 1 b 3 Q 7 U 2 V j d G l v b j E v V G F i b G U g M C A o M i k v 5 p u 0 5 p S 5 5 5 q E 5 7 G 7 5 Z 6 L L n t D b 2 x 1 b W 4 x N D Y s M T Q 1 f S Z x d W 9 0 O y w m c X V v d D t T Z W N 0 a W 9 u M S 9 U Y W J s Z S A w I C g y K S / m m 7 T m l L n n m o T n s b v l n o s u e 0 N v b H V t b j E 0 N y w x N D Z 9 J n F 1 b 3 Q 7 L C Z x d W 9 0 O 1 N l Y 3 R p b 2 4 x L 1 R h Y m x l I D A g K D I p L + a b t O a U u e e a h O e x u + W e i y 5 7 Q 2 9 s d W 1 u M T Q 4 L D E 0 N 3 0 m c X V v d D s s J n F 1 b 3 Q 7 U 2 V j d G l v b j E v V G F i b G U g M C A o M i k v 5 p u 0 5 p S 5 5 5 q E 5 7 G 7 5 Z 6 L L n t D b 2 x 1 b W 4 x N D k s M T Q 4 f S Z x d W 9 0 O y w m c X V v d D t T Z W N 0 a W 9 u M S 9 U Y W J s Z S A w I C g y K S / m m 7 T m l L n n m o T n s b v l n o s u e 0 N v b H V t b j E 1 M C w x N D l 9 J n F 1 b 3 Q 7 L C Z x d W 9 0 O 1 N l Y 3 R p b 2 4 x L 1 R h Y m x l I D A g K D I p L + a b t O a U u e e a h O e x u + W e i y 5 7 Q 2 9 s d W 1 u M T U x L D E 1 M H 0 m c X V v d D s s J n F 1 b 3 Q 7 U 2 V j d G l v b j E v V G F i b G U g M C A o M i k v 5 p u 0 5 p S 5 5 5 q E 5 7 G 7 5 Z 6 L L n t D b 2 x 1 b W 4 x N T I s M T U x f S Z x d W 9 0 O y w m c X V v d D t T Z W N 0 a W 9 u M S 9 U Y W J s Z S A w I C g y K S / m m 7 T m l L n n m o T n s b v l n o s u e 0 N v b H V t b j E 1 M y w x N T J 9 J n F 1 b 3 Q 7 L C Z x d W 9 0 O 1 N l Y 3 R p b 2 4 x L 1 R h Y m x l I D A g K D I p L + a b t O a U u e e a h O e x u + W e i y 5 7 Q 2 9 s d W 1 u M T U 0 L D E 1 M 3 0 m c X V v d D s s J n F 1 b 3 Q 7 U 2 V j d G l v b j E v V G F i b G U g M C A o M i k v 5 p u 0 5 p S 5 5 5 q E 5 7 G 7 5 Z 6 L L n t D b 2 x 1 b W 4 x N T U s M T U 0 f S Z x d W 9 0 O y w m c X V v d D t T Z W N 0 a W 9 u M S 9 U Y W J s Z S A w I C g y K S / m m 7 T m l L n n m o T n s b v l n o s u e 0 N v b H V t b j E 1 N i w x N T V 9 J n F 1 b 3 Q 7 L C Z x d W 9 0 O 1 N l Y 3 R p b 2 4 x L 1 R h Y m x l I D A g K D I p L + a b t O a U u e e a h O e x u + W e i y 5 7 Q 2 9 s d W 1 u M T U 3 L D E 1 N n 0 m c X V v d D s s J n F 1 b 3 Q 7 U 2 V j d G l v b j E v V G F i b G U g M C A o M i k v 5 p u 0 5 p S 5 5 5 q E 5 7 G 7 5 Z 6 L L n t D b 2 x 1 b W 4 x N T g s M T U 3 f S Z x d W 9 0 O y w m c X V v d D t T Z W N 0 a W 9 u M S 9 U Y W J s Z S A w I C g y K S / m m 7 T m l L n n m o T n s b v l n o s u e 0 N v b H V t b j E 1 O S w x N T h 9 J n F 1 b 3 Q 7 L C Z x d W 9 0 O 1 N l Y 3 R p b 2 4 x L 1 R h Y m x l I D A g K D I p L + a b t O a U u e e a h O e x u + W e i y 5 7 Q 2 9 s d W 1 u M T Y w L D E 1 O X 0 m c X V v d D s s J n F 1 b 3 Q 7 U 2 V j d G l v b j E v V G F i b G U g M C A o M i k v 5 p u 0 5 p S 5 5 5 q E 5 7 G 7 5 Z 6 L L n t D b 2 x 1 b W 4 x N j E s M T Y w f S Z x d W 9 0 O y w m c X V v d D t T Z W N 0 a W 9 u M S 9 U Y W J s Z S A w I C g y K S / m m 7 T m l L n n m o T n s b v l n o s u e 0 N v b H V t b j E 2 M i w x N j F 9 J n F 1 b 3 Q 7 L C Z x d W 9 0 O 1 N l Y 3 R p b 2 4 x L 1 R h Y m x l I D A g K D I p L + a b t O a U u e e a h O e x u + W e i y 5 7 Q 2 9 s d W 1 u M T Y z L D E 2 M n 0 m c X V v d D s s J n F 1 b 3 Q 7 U 2 V j d G l v b j E v V G F i b G U g M C A o M i k v 5 p u 0 5 p S 5 5 5 q E 5 7 G 7 5 Z 6 L L n t D b 2 x 1 b W 4 x N j Q s M T Y z 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1 0 i I C 8 + P E V u d H J 5 I F R 5 c G U 9 I k Z p b G x D b 2 x 1 b W 5 U e X B l c y I g V m F s d W U 9 I n N 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k 9 I i A v P j x F b n R y e S B U e X B l P S J G a W x s T G F z d F V w Z G F 0 Z W Q i I F Z h b H V l P S J k M j A y M S 0 x M i 0 y O V Q w N D o 1 O T o z N S 4 w M D g 2 O D I w W i I g L z 4 8 R W 5 0 c n k g V H l w Z T 0 i R m l s b E V y c m 9 y Q 2 9 1 b n Q i I F Z h b H V l P S J s M C I g L z 4 8 R W 5 0 c n k g V H l w Z T 0 i R m l s b E V y c m 9 y Q 2 9 k Z S I g V m F s d W U 9 I n N V b m t u b 3 d u I i A v P j x F b n R y e S B U e X B l P S J R d W V y e U l E I i B W Y W x 1 Z T 0 i c z h m Y W J h Z j U 2 L W M 0 M j E t N D g 0 Y i 0 4 O T I 4 L W Y 1 N W Z k Z j U 3 Z T l l N C I g L z 4 8 R W 5 0 c n k g V H l w Z T 0 i R m l s b E N v d W 5 0 I i B W Y W x 1 Z T 0 i b D E w O C I g L z 4 8 R W 5 0 c n k g V H l w Z T 0 i Q W R k Z W R U b 0 R h d G F N b 2 R l b C I g V m F s d W U 9 I m w w I i A v P j w v U 3 R h Y m x l R W 5 0 c m l l c z 4 8 L 0 l 0 Z W 0 + P E l 0 Z W 0 + P E l 0 Z W 1 M b 2 N h d G l v b j 4 8 S X R l b V R 5 c G U + R m 9 y b X V s Y T w v S X R l b V R 5 c G U + P E l 0 Z W 1 Q Y X R o P l N l Y 3 R p b 2 4 x L 1 R h Y m x l J T I w M C U y M C g y K S 8 l R T Y l Q k E l O T A 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J U U 2 J T l C J U I 0 J U U 2 J T k 0 J U I 5 J U U 3 J T l B J T g 0 J U U 3 J U I x J U J C J U U 1 J T l F J T h C P C 9 J d G V t U G F 0 a D 4 8 L 0 l 0 Z W 1 M b 2 N h d G l v b j 4 8 U 3 R h Y m x l R W 5 0 c m l l c y A v P j w v S X R l b T 4 8 L 0 l 0 Z W 1 z P j w v T G 9 j Y W x Q Y W N r Y W d l T W V 0 Y W R h d G F G a W x l P h Y A A A B Q S w U G A A A A A A A A A A A A A A A A A A A A A A A A J g E A A A E A A A D Q j J 3 f A R X R E Y x 6 A M B P w p f r A Q A A A N I 7 B o G Z M L R F m g T W K K b B f W U A A A A A A g A A A A A A E G Y A A A A B A A A g A A A A F X 1 6 P g 2 w 5 5 p 2 R f + 9 Z u o p F C b b y m o p 9 r h Q 2 U p U y j 0 g w x 8 A A A A A D o A A A A A C A A A g A A A A j H F m 1 R N B g B Q q U 2 n 4 b B 1 h y z R n B k a m n d e h i + F Y g v V C j C Z Q A A A A U X H Z R 9 Q 5 H i n p L 0 y o i s u x l o O o n y G + f + J y D F o 8 y 6 w q M u k Z u p d d 4 k b c X t 6 p 6 b C G z 0 0 g A 2 Q g u s Y w I B f i W / x 1 M + J 8 a d Y O r A y 8 D C g K / n J u F n j t u 8 5 A A A A A b g P S Y j T y 5 d V j + K o K 4 a 1 R s P i N 7 N Q p U q v i 0 f a v l Z P l M f O C + / 1 9 G h D W t k 9 F C V 1 e E F G I t 3 G k q w Y T 1 m 6 C L v X W k k 1 o T g = = < / D a t a M a s h u p > 
</file>

<file path=customXml/itemProps1.xml><?xml version="1.0" encoding="utf-8"?>
<ds:datastoreItem xmlns:ds="http://schemas.openxmlformats.org/officeDocument/2006/customXml" ds:itemID="{0B5DE490-CCBE-4F27-8CD1-9AA6782C5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410</vt:i4>
      </vt:variant>
      <vt:variant>
        <vt:lpstr>命名范围</vt:lpstr>
      </vt:variant>
      <vt:variant>
        <vt:i4>6</vt:i4>
      </vt:variant>
    </vt:vector>
  </HeadingPairs>
  <TitlesOfParts>
    <vt:vector size="416" baseType="lpstr">
      <vt:lpstr>基础信息</vt:lpstr>
      <vt:lpstr>标准编码</vt:lpstr>
      <vt:lpstr>转换表</vt:lpstr>
      <vt:lpstr>科目余额表</vt:lpstr>
      <vt:lpstr>本期TB</vt:lpstr>
      <vt:lpstr>本期ETY</vt:lpstr>
      <vt:lpstr>新准则转换TB</vt:lpstr>
      <vt:lpstr>新准则转换ETY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现金流量表计算表</vt:lpstr>
      <vt:lpstr>国有资本保值增值计算表</vt:lpstr>
      <vt:lpstr>财务绩效评价指标</vt:lpstr>
      <vt:lpstr>校验</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首次执行日前后金融资产分类和计量对比表</vt:lpstr>
      <vt:lpstr>新旧金融工具调节表</vt:lpstr>
      <vt:lpstr>金融资产减值准备调节表</vt:lpstr>
      <vt:lpstr>新金融工具准则对期初留存收益和其他综合收益的影响</vt:lpstr>
      <vt:lpstr>新收入准则对期初财务报表的影响</vt:lpstr>
      <vt:lpstr>新收入准则对期末资产负债表的影响</vt:lpstr>
      <vt:lpstr>新收入准则对利润表的影响</vt:lpstr>
      <vt:lpstr>新租赁准则对期初报表的影响</vt:lpstr>
      <vt:lpstr>最低经营租赁付款额与租赁负债调节表</vt:lpstr>
      <vt:lpstr>主要税种及税率</vt:lpstr>
      <vt:lpstr>子企业情况-国有企业</vt:lpstr>
      <vt:lpstr>表决权不足半数但能形成控制-国有企业</vt:lpstr>
      <vt:lpstr>半数以上表决权但未控制-国有企业</vt:lpstr>
      <vt:lpstr>本年不再纳入合并范围原子公司的情况-国有企业</vt:lpstr>
      <vt:lpstr>原子公司在处置日和上一会计期间资产负债表日的财务状况-国有企业</vt:lpstr>
      <vt:lpstr>原子公司本年年初至处置日的经营成果-国有企业</vt:lpstr>
      <vt:lpstr>本年新纳入合并范围的主体-国有企业</vt:lpstr>
      <vt:lpstr>本年发生的同一控制下企业合并情况-国有企业</vt:lpstr>
      <vt:lpstr>本年发生的非同一控制下企业合并情况-国有企业</vt:lpstr>
      <vt:lpstr>本年发生的反向购买-国有企业</vt:lpstr>
      <vt:lpstr>本年发生的吸收合并-国有企业</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应收票据分类新金融工具准则</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应收票据明细表</vt:lpstr>
      <vt:lpstr>应收账款期末数</vt:lpstr>
      <vt:lpstr>应收账款期初数</vt:lpstr>
      <vt:lpstr>期末单项计提坏账准备的应收账款</vt:lpstr>
      <vt:lpstr>采用组合计提坏账准备的应收账款</vt:lpstr>
      <vt:lpstr>应收账款账龄情况</vt:lpstr>
      <vt:lpstr>应收账款坏账准备变动明细情况</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应收账款明细表</vt:lpstr>
      <vt:lpstr>应收款项融资</vt:lpstr>
      <vt:lpstr>应收款项融资明细表</vt:lpstr>
      <vt:lpstr>应收款项融资已转让已背书或已贴现未到期</vt:lpstr>
      <vt:lpstr>应收款项融资已转让已背书或已贴现未到期明细表</vt:lpstr>
      <vt:lpstr>预付账款账龄明细</vt:lpstr>
      <vt:lpstr>账龄超过1年的大额预付款项情况</vt:lpstr>
      <vt:lpstr>按欠款方归集的年末余额前五名的预付账款情况</vt:lpstr>
      <vt:lpstr>预付账款明细表</vt:lpstr>
      <vt:lpstr>其他应收款</vt:lpstr>
      <vt:lpstr>应收利息分类</vt:lpstr>
      <vt:lpstr>重要逾期利息</vt:lpstr>
      <vt:lpstr>应收利息明细表</vt:lpstr>
      <vt:lpstr>应收股利明细</vt:lpstr>
      <vt:lpstr>账龄一年以上重要的应收股利</vt:lpstr>
      <vt:lpstr>应收股利明细表</vt:lpstr>
      <vt:lpstr>其他应收款按性质分类情况</vt:lpstr>
      <vt:lpstr>其他应收款账龄情况</vt:lpstr>
      <vt:lpstr>其他应收款坏账准备变动情况</vt:lpstr>
      <vt:lpstr>其他应收款减值准备明细表</vt:lpstr>
      <vt:lpstr>坏账准备的情况</vt:lpstr>
      <vt:lpstr>其他应收款收回或转回的坏账准备情况</vt:lpstr>
      <vt:lpstr>本年实际核销的其他应收款情况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合同履约明细表</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合同资产明细表</vt:lpstr>
      <vt:lpstr>持有待售资产的基本情况</vt:lpstr>
      <vt:lpstr>持有待售资产减值准备情况</vt:lpstr>
      <vt:lpstr>持有待售资产明细表</vt:lpstr>
      <vt:lpstr>一年内到期的非流动资产</vt:lpstr>
      <vt:lpstr>一年内到期的非流动资产明细表</vt:lpstr>
      <vt:lpstr>其他流动资产</vt:lpstr>
      <vt:lpstr>其他流动资产明细表</vt:lpstr>
      <vt:lpstr>合同取得成本</vt:lpstr>
      <vt:lpstr>合同取得成本明细表</vt:lpstr>
      <vt:lpstr>债权投资</vt:lpstr>
      <vt:lpstr>债权投资明细表</vt:lpstr>
      <vt:lpstr>债权投资减值准备</vt:lpstr>
      <vt:lpstr>债权投资减值准备明细表</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其他债权投资明细表</vt:lpstr>
      <vt:lpstr>其他债权投资减值准备</vt:lpstr>
      <vt:lpstr>其他债权投资减值准备明细表</vt:lpstr>
      <vt:lpstr>期末重要的其他债权投资</vt:lpstr>
      <vt:lpstr>持有至到期投资明细情况</vt:lpstr>
      <vt:lpstr>期末重要的持有至到期投资</vt:lpstr>
      <vt:lpstr>长期应收款明细情况</vt:lpstr>
      <vt:lpstr>长期应收款明细表</vt:lpstr>
      <vt:lpstr>长期应收款坏账准备变动情况新金融工具准则</vt:lpstr>
      <vt:lpstr>长期应收款减值准备明细表新金融工具</vt:lpstr>
      <vt:lpstr>因金融资产转移而终止确认的长期应收款</vt:lpstr>
      <vt:lpstr>因金融资产转移而终止确认的长期应收款明细表</vt:lpstr>
      <vt:lpstr>转移长期应收款且继续涉入形成的资产负债金额</vt:lpstr>
      <vt:lpstr>长期股权投资分类情况</vt:lpstr>
      <vt:lpstr>长期股权投资子公司明细情况</vt:lpstr>
      <vt:lpstr>长期股权投资合营企业明细情况</vt:lpstr>
      <vt:lpstr>长期股权投资联营企业明细情况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其他权益工具投资明细表</vt:lpstr>
      <vt:lpstr>其他非流动金融资产</vt:lpstr>
      <vt:lpstr>其他非流动金融资产明细表</vt:lpstr>
      <vt:lpstr>采用成本计量模式的投资性房地产上市公司</vt:lpstr>
      <vt:lpstr>成本法核算投资性房地产明细表</vt:lpstr>
      <vt:lpstr>采用公允价值计量模式的投资性房地产</vt:lpstr>
      <vt:lpstr>采用公允价值计量模式的投资性房地产明细表</vt:lpstr>
      <vt:lpstr>未办妥产权证书的投资性房地产金额及原因</vt:lpstr>
      <vt:lpstr>未办妥权证的投资性房地产明细表</vt:lpstr>
      <vt:lpstr>固定资产汇总</vt:lpstr>
      <vt:lpstr>固定资产情况</vt:lpstr>
      <vt:lpstr>固定资产明细表</vt:lpstr>
      <vt:lpstr>暂时闲置的固定资产情况</vt:lpstr>
      <vt:lpstr>暂时闲置的固定资产明细表</vt:lpstr>
      <vt:lpstr>通过经营租赁租出的固定资产</vt:lpstr>
      <vt:lpstr>经营租赁租出固定资产明细表</vt:lpstr>
      <vt:lpstr>未办妥产权证书的固定资产情况</vt:lpstr>
      <vt:lpstr>未办妥权证的固定资产明细表</vt:lpstr>
      <vt:lpstr>固定资产清理</vt:lpstr>
      <vt:lpstr>固定资产清理明细表</vt:lpstr>
      <vt:lpstr>在建工程汇总</vt:lpstr>
      <vt:lpstr>在建工程情况</vt:lpstr>
      <vt:lpstr>重要在建工程项目本期变动情况</vt:lpstr>
      <vt:lpstr>本期计提在建工程减值准备情况</vt:lpstr>
      <vt:lpstr>在建工程明细表</vt:lpstr>
      <vt:lpstr>工程物资</vt:lpstr>
      <vt:lpstr>工程物资明细表</vt:lpstr>
      <vt:lpstr>生产性生物资产</vt:lpstr>
      <vt:lpstr>生产性生物资产明细表</vt:lpstr>
      <vt:lpstr>油气资产</vt:lpstr>
      <vt:lpstr>油气资产国有企业</vt:lpstr>
      <vt:lpstr>油气资产明细表</vt:lpstr>
      <vt:lpstr>使用权资产</vt:lpstr>
      <vt:lpstr>使用权资产明细表</vt:lpstr>
      <vt:lpstr>无形资产</vt:lpstr>
      <vt:lpstr>无形资产明细表</vt:lpstr>
      <vt:lpstr>未办妥产权证书的土地使用权情况</vt:lpstr>
      <vt:lpstr>未办妥产权证书的无形资产明细表</vt:lpstr>
      <vt:lpstr>开发支出</vt:lpstr>
      <vt:lpstr>开发支出明细表</vt:lpstr>
      <vt:lpstr>商誉账面价值</vt:lpstr>
      <vt:lpstr>商誉减值准备</vt:lpstr>
      <vt:lpstr>商誉明细表</vt:lpstr>
      <vt:lpstr>长期待摊费用</vt:lpstr>
      <vt:lpstr>长期待摊费用明细表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其他非流动资产明细表</vt:lpstr>
      <vt:lpstr>短期借款明细情况</vt:lpstr>
      <vt:lpstr>已逾期未偿还的短期借款情况</vt:lpstr>
      <vt:lpstr>短期借款明细表</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应付职工薪酬明细表</vt:lpstr>
      <vt:lpstr>应交税费</vt:lpstr>
      <vt:lpstr>应交税费明细表</vt:lpstr>
      <vt:lpstr>应交增值税计提</vt:lpstr>
      <vt:lpstr>其他应付款汇总</vt:lpstr>
      <vt:lpstr>应付利息</vt:lpstr>
      <vt:lpstr>重要的已逾期未支付的利息情况</vt:lpstr>
      <vt:lpstr>应付利息明细表</vt:lpstr>
      <vt:lpstr>应付股利</vt:lpstr>
      <vt:lpstr>账龄一年以上重要的应付股利</vt:lpstr>
      <vt:lpstr>应付股利明细表</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长期借款明细表</vt:lpstr>
      <vt:lpstr>应付债券</vt:lpstr>
      <vt:lpstr>应付债券的增减变动</vt:lpstr>
      <vt:lpstr>应付债券明细表</vt:lpstr>
      <vt:lpstr>期末发行在外的优先股永续债等金融工具情况</vt:lpstr>
      <vt:lpstr>发行在外的优先股永续债等金融工具变动情况</vt:lpstr>
      <vt:lpstr>归属于权益工具持有者的信息</vt:lpstr>
      <vt:lpstr>租赁负债</vt:lpstr>
      <vt:lpstr>租赁负债明细表</vt:lpstr>
      <vt:lpstr>长期应付款汇总</vt:lpstr>
      <vt:lpstr>长期应付款</vt:lpstr>
      <vt:lpstr>长期应付款明细表</vt:lpstr>
      <vt:lpstr>专项应付款</vt:lpstr>
      <vt:lpstr>专项应付款明细表</vt:lpstr>
      <vt:lpstr>长期应付职工薪酬明细情况</vt:lpstr>
      <vt:lpstr>设定受益计划义务现值</vt:lpstr>
      <vt:lpstr>计划资产</vt:lpstr>
      <vt:lpstr>设定受益计划净负债</vt:lpstr>
      <vt:lpstr>预计负债</vt:lpstr>
      <vt:lpstr>预计负债明细表</vt:lpstr>
      <vt:lpstr>递延收益</vt:lpstr>
      <vt:lpstr>递延收益中政府补助项目</vt:lpstr>
      <vt:lpstr>递延收益明细表</vt:lpstr>
      <vt:lpstr>未实现售后回租损益明细表</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主营业务明细表</vt:lpstr>
      <vt:lpstr>其他业务收入与其他业务成本</vt:lpstr>
      <vt:lpstr>其他业务明细表</vt:lpstr>
      <vt:lpstr>按收入确认时点分解</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计入当期损益的政府补助明细</vt:lpstr>
      <vt:lpstr>营业外支出</vt:lpstr>
      <vt:lpstr>所得税费用</vt:lpstr>
      <vt:lpstr>会计利润与所得税费用调整过程</vt:lpstr>
      <vt:lpstr>可抵扣暂时性差异明细表</vt:lpstr>
      <vt:lpstr>应纳税暂时性差异明细表</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将净利润调节为经营活动现金流量</vt:lpstr>
      <vt:lpstr>不涉及现金收支的重大投资和筹资活动</vt:lpstr>
      <vt:lpstr>现金及现金等价物净变动情况</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对外担保明细表</vt:lpstr>
      <vt:lpstr>其他或有事项明细表</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其他关联交易</vt:lpstr>
      <vt:lpstr>应收关联方款项</vt:lpstr>
      <vt:lpstr>应付关联方款项</vt:lpstr>
      <vt:lpstr>关联方承诺上市公司</vt:lpstr>
      <vt:lpstr>非同一控制下企业合并上市公司</vt:lpstr>
      <vt:lpstr>合并成本及商誉上市公司</vt:lpstr>
      <vt:lpstr>被购买方于购买日可辨认资产负债上市公司</vt:lpstr>
      <vt:lpstr>同一控制下企业合并上市公司</vt:lpstr>
      <vt:lpstr>合并成本上市公司</vt:lpstr>
      <vt:lpstr>合并日被合并方资产负债的账面价值上市公司</vt:lpstr>
      <vt:lpstr>单次处置对子公司投资即丧失控制权上市公司</vt:lpstr>
      <vt:lpstr>多次处置构成一揽子交易上市公司</vt:lpstr>
      <vt:lpstr>多次处置不构成一揽子交易上市公司</vt:lpstr>
      <vt:lpstr>其他合并范围增加上市公司</vt:lpstr>
      <vt:lpstr> 其他合并范围减少上市公司</vt:lpstr>
      <vt:lpstr>企业集团的构成上市公司</vt:lpstr>
      <vt:lpstr>重要的非全资子公司上市公司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信息分类表</vt:lpstr>
      <vt:lpstr>setting</vt:lpstr>
      <vt:lpstr>本期ETY!Print_Area</vt:lpstr>
      <vt:lpstr>本期TB!Print_Area</vt:lpstr>
      <vt:lpstr>上期ETY!Print_Area</vt:lpstr>
      <vt:lpstr>上期TB!Print_Area</vt:lpstr>
      <vt:lpstr>新准则转换ETY!Print_Area</vt:lpstr>
      <vt:lpstr>新准则转换TB!Print_Area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ASUS</cp:lastModifiedBy>
  <dcterms:created xsi:type="dcterms:W3CDTF">2015-06-05T18:17:20Z</dcterms:created>
  <dcterms:modified xsi:type="dcterms:W3CDTF">2021-12-29T06:12:06Z</dcterms:modified>
</cp:coreProperties>
</file>